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приложение 2" sheetId="1" r:id="rId1"/>
    <sheet name="приложение 3" sheetId="3" r:id="rId2"/>
    <sheet name="приложение 4 до 150 " sheetId="2" r:id="rId3"/>
    <sheet name="приложение 4 свыше 150" sheetId="7" r:id="rId4"/>
    <sheet name="приложение 5" sheetId="11" r:id="rId5"/>
    <sheet name="приложение 6" sheetId="4" r:id="rId6"/>
    <sheet name="приложение 7" sheetId="6" r:id="rId7"/>
    <sheet name="приложение 8" sheetId="9" r:id="rId8"/>
    <sheet name="приложение 9" sheetId="10" r:id="rId9"/>
  </sheets>
  <externalReferences>
    <externalReference r:id="rId10"/>
  </externalReferences>
  <definedNames>
    <definedName name="sub_882" localSheetId="7">'приложение 8'!#REF!</definedName>
  </definedNames>
  <calcPr calcId="145621"/>
</workbook>
</file>

<file path=xl/calcChain.xml><?xml version="1.0" encoding="utf-8"?>
<calcChain xmlns="http://schemas.openxmlformats.org/spreadsheetml/2006/main">
  <c r="C39" i="11" l="1"/>
  <c r="D39" i="11"/>
  <c r="D38" i="11"/>
  <c r="D37" i="11"/>
  <c r="C37" i="11"/>
  <c r="C13" i="6" l="1"/>
  <c r="C18" i="6"/>
  <c r="C17" i="6"/>
  <c r="D20" i="11" l="1"/>
  <c r="D19" i="11"/>
  <c r="E31" i="2" l="1"/>
  <c r="E27" i="7"/>
  <c r="E28" i="7"/>
  <c r="E29" i="7"/>
  <c r="E26" i="7"/>
  <c r="C29" i="7"/>
  <c r="C28" i="7"/>
  <c r="C27" i="7"/>
  <c r="C26" i="7"/>
  <c r="D29" i="7"/>
  <c r="D28" i="7"/>
  <c r="D27" i="7"/>
  <c r="D25" i="7"/>
  <c r="E38" i="7"/>
  <c r="E35" i="7"/>
  <c r="E32" i="7"/>
  <c r="D26" i="7"/>
  <c r="E22" i="7"/>
  <c r="E21" i="7"/>
  <c r="E19" i="7"/>
  <c r="E18" i="7"/>
  <c r="E13" i="7"/>
  <c r="E40" i="2"/>
  <c r="E37" i="2"/>
  <c r="E34" i="2"/>
  <c r="C31" i="2"/>
  <c r="C30" i="2"/>
  <c r="C29" i="2"/>
  <c r="E29" i="2" s="1"/>
  <c r="C28" i="2"/>
  <c r="E28" i="2" s="1"/>
  <c r="E27" i="2"/>
  <c r="E30" i="2"/>
  <c r="C27" i="2"/>
  <c r="E26" i="2"/>
  <c r="C26" i="2"/>
  <c r="E25" i="2"/>
  <c r="C25" i="2"/>
  <c r="C25" i="7" l="1"/>
  <c r="E25" i="7" s="1"/>
  <c r="D31" i="2" l="1"/>
  <c r="D30" i="2"/>
  <c r="D29" i="2"/>
  <c r="D28" i="2"/>
  <c r="D27" i="2"/>
  <c r="D26" i="2"/>
  <c r="D25" i="2"/>
  <c r="E22" i="2"/>
  <c r="E21" i="2"/>
  <c r="E19" i="2"/>
  <c r="E18" i="2"/>
  <c r="E13" i="2"/>
  <c r="E23" i="3" l="1"/>
  <c r="G23" i="3" s="1"/>
  <c r="D23" i="3"/>
  <c r="F23" i="3" s="1"/>
  <c r="E22" i="3"/>
  <c r="G22" i="3" s="1"/>
  <c r="D22" i="3"/>
  <c r="F22" i="3" s="1"/>
  <c r="E21" i="3"/>
  <c r="G21" i="3" s="1"/>
  <c r="D21" i="3"/>
  <c r="F21" i="3" s="1"/>
  <c r="E20" i="3"/>
  <c r="G20" i="3" s="1"/>
  <c r="D20" i="3"/>
  <c r="F20" i="3" s="1"/>
  <c r="D19" i="3"/>
  <c r="F19" i="3" s="1"/>
  <c r="E19" i="3" l="1"/>
  <c r="G19" i="3" s="1"/>
  <c r="E40" i="3"/>
  <c r="E39" i="3"/>
  <c r="E38" i="3"/>
  <c r="E37" i="3"/>
  <c r="D38" i="3"/>
  <c r="D37" i="3"/>
</calcChain>
</file>

<file path=xl/sharedStrings.xml><?xml version="1.0" encoding="utf-8"?>
<sst xmlns="http://schemas.openxmlformats.org/spreadsheetml/2006/main" count="369" uniqueCount="162">
  <si>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</si>
  <si>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</si>
  <si>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</si>
  <si>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</si>
  <si>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</si>
  <si>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</si>
  <si>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</si>
  <si>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</si>
  <si>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           </t>
    </r>
    <r>
      <rPr>
        <b/>
        <u/>
        <sz val="12"/>
        <color theme="1"/>
        <rFont val="Times New Roman"/>
        <family val="1"/>
        <charset val="204"/>
      </rPr>
      <t xml:space="preserve"> ПАО "Волгоградоблэлектро"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на </t>
    </r>
    <r>
      <rPr>
        <b/>
        <u/>
        <sz val="12"/>
        <color theme="1"/>
        <rFont val="Times New Roman"/>
        <family val="1"/>
        <charset val="204"/>
      </rPr>
      <t>2016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</si>
  <si>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r>
      <t xml:space="preserve">1. Полное наименование  </t>
    </r>
    <r>
      <rPr>
        <b/>
        <u/>
        <sz val="12"/>
        <color theme="1"/>
        <rFont val="Times New Roman"/>
        <family val="1"/>
        <charset val="204"/>
      </rPr>
      <t>Публичное акционерное общество "Волгоградоблэлектро"</t>
    </r>
  </si>
  <si>
    <r>
      <t xml:space="preserve">2. Сокращенное наименование </t>
    </r>
    <r>
      <rPr>
        <b/>
        <u/>
        <sz val="12"/>
        <color theme="1"/>
        <rFont val="Times New Roman"/>
        <family val="1"/>
        <charset val="204"/>
      </rPr>
      <t>ПАО "ВОЭ"</t>
    </r>
  </si>
  <si>
    <r>
      <t xml:space="preserve">3. Место нахождения </t>
    </r>
    <r>
      <rPr>
        <b/>
        <u/>
        <sz val="12"/>
        <color theme="1"/>
        <rFont val="Times New Roman"/>
        <family val="1"/>
        <charset val="204"/>
      </rPr>
      <t>Россия, Волгоградская область, г. Волгоград, ул. им. Шопена, 13</t>
    </r>
  </si>
  <si>
    <r>
      <t xml:space="preserve">4. Адрес юридического лица </t>
    </r>
    <r>
      <rPr>
        <b/>
        <u/>
        <sz val="12"/>
        <color theme="1"/>
        <rFont val="Times New Roman"/>
        <family val="1"/>
        <charset val="204"/>
      </rPr>
      <t>Россия, Волгоградская область, г. Волгоград, ул. им. Шопена, 13</t>
    </r>
  </si>
  <si>
    <r>
      <t xml:space="preserve">6. КПП </t>
    </r>
    <r>
      <rPr>
        <b/>
        <u/>
        <sz val="12"/>
        <color theme="1"/>
        <rFont val="Times New Roman"/>
        <family val="1"/>
        <charset val="204"/>
      </rPr>
      <t>344301001</t>
    </r>
  </si>
  <si>
    <r>
      <t xml:space="preserve">5. ИНН </t>
    </r>
    <r>
      <rPr>
        <b/>
        <u/>
        <sz val="12"/>
        <color theme="1"/>
        <rFont val="Times New Roman"/>
        <family val="1"/>
        <charset val="204"/>
      </rPr>
      <t>3443029580</t>
    </r>
  </si>
  <si>
    <r>
      <t xml:space="preserve">7. Ф.И.О. руководителя </t>
    </r>
    <r>
      <rPr>
        <b/>
        <u/>
        <sz val="12"/>
        <color theme="1"/>
        <rFont val="Times New Roman"/>
        <family val="1"/>
        <charset val="204"/>
      </rPr>
      <t>Воцко Александр Владимирович</t>
    </r>
  </si>
  <si>
    <r>
      <t xml:space="preserve">8. Адрес электронной почты </t>
    </r>
    <r>
      <rPr>
        <b/>
        <u/>
        <sz val="12"/>
        <color theme="1"/>
        <rFont val="Times New Roman"/>
        <family val="1"/>
        <charset val="204"/>
      </rPr>
      <t>oaovoe@voel.ru</t>
    </r>
  </si>
  <si>
    <r>
      <t xml:space="preserve">9. Контактный телефон </t>
    </r>
    <r>
      <rPr>
        <b/>
        <u/>
        <sz val="12"/>
        <color theme="1"/>
        <rFont val="Times New Roman"/>
        <family val="1"/>
        <charset val="204"/>
      </rPr>
      <t>8 (8442) 58 60 45</t>
    </r>
  </si>
  <si>
    <r>
      <t xml:space="preserve">10. Факс </t>
    </r>
    <r>
      <rPr>
        <b/>
        <u/>
        <sz val="12"/>
        <color theme="1"/>
        <rFont val="Times New Roman"/>
        <family val="1"/>
        <charset val="204"/>
      </rPr>
      <t>8 (8442) 48 14 21</t>
    </r>
  </si>
  <si>
    <t>Приложение N 3</t>
  </si>
  <si>
    <t>* Ставки платы *, * и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</si>
  <si>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</si>
  <si>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выручки*, (рублей)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</si>
  <si>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</si>
  <si>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</si>
  <si>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</si>
  <si>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напрядения ниже 35 кВ и присоединяемой мощностью</t>
  </si>
  <si>
    <r>
      <t xml:space="preserve">менее 8900 кВт </t>
    </r>
    <r>
      <rPr>
        <b/>
        <u/>
        <sz val="12"/>
        <color theme="1"/>
        <rFont val="Times New Roman"/>
        <family val="1"/>
        <charset val="204"/>
      </rPr>
      <t>ПАО "Волгоградоблэлектро"</t>
    </r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</si>
  <si>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 xml:space="preserve">2016 </t>
    </r>
    <r>
      <rPr>
        <sz val="12"/>
        <color theme="1"/>
        <rFont val="Times New Roman"/>
        <family val="1"/>
        <charset val="204"/>
      </rPr>
      <t>год</t>
    </r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</si>
  <si>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</si>
  <si>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</si>
  <si>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</si>
  <si>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</si>
  <si>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</si>
  <si>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</si>
  <si>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</si>
  <si>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color theme="1"/>
        <rFont val="Times New Roman"/>
        <family val="1"/>
        <charset val="204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</si>
  <si>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</si>
  <si>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</si>
  <si>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</si>
  <si>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</si>
  <si>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</si>
  <si>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color theme="1"/>
        <rFont val="Times New Roman"/>
        <family val="1"/>
        <charset val="204"/>
      </rPr>
      <t>1.3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</si>
  <si>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1.4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</si>
  <si>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2,i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</si>
  <si>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3,i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</si>
  <si>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4,i</t>
    </r>
    <r>
      <rPr>
        <sz val="12"/>
        <color theme="1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</si>
  <si>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</si>
  <si>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</si>
  <si>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</si>
  <si>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</si>
  <si>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</si>
  <si>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150 кВт</t>
  </si>
  <si>
    <t>свыше 150 кВт</t>
  </si>
  <si>
    <t>ТП-25 кВА</t>
  </si>
  <si>
    <t>ТП-63 кВА</t>
  </si>
  <si>
    <t>ТП-100 кВА</t>
  </si>
  <si>
    <t>ТП-160 кВА</t>
  </si>
  <si>
    <t>ТП-250 кВА</t>
  </si>
  <si>
    <t>ТП-400 кВА</t>
  </si>
  <si>
    <t>ТП-2х250 кВА</t>
  </si>
  <si>
    <t>ТП-2х400 кВА</t>
  </si>
  <si>
    <t>ТП-2х630 кВА</t>
  </si>
  <si>
    <t>ТП-2х1000 кВА</t>
  </si>
  <si>
    <t>Приложение N 4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</si>
  <si>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</si>
  <si>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</si>
  <si>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</si>
  <si>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</si>
  <si>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основный фонды за 3 предыдущих года (кВт)</t>
  </si>
  <si>
    <t>1.</t>
  </si>
  <si>
    <t>Строительство пунктов секционирования (распределительных пунктов)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</si>
  <si>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</si>
  <si>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</si>
  <si>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</si>
  <si>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</si>
  <si>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</si>
  <si>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</si>
  <si>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</si>
  <si>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года, (тыс. рублей без НДС)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</si>
  <si>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</si>
  <si>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</si>
  <si>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</t>
  </si>
  <si>
    <t>Длина воздушных и кабельных линий электропередачина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</si>
  <si>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</si>
  <si>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</si>
  <si>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</si>
  <si>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</si>
  <si>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</si>
  <si>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путем строительства воздушных или кабельных линий за последние 3 года (кВт)</t>
  </si>
  <si>
    <t>-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</si>
  <si>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</si>
  <si>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</si>
  <si>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</si>
  <si>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</si>
  <si>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</si>
  <si>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</si>
  <si>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</si>
  <si>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 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</si>
  <si>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</si>
  <si>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устрйств потребителей электрической энергии, объектов по производжству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</si>
  <si>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 осуществляемые при технологическом присоединении (до 150 кВт)</t>
  </si>
  <si>
    <t>Расходы на мероприятия, осуществляемые при технологическом присоединении(свыше 150 кВт)</t>
  </si>
  <si>
    <t>Показатели</t>
  </si>
  <si>
    <t>Ожидаемые данные за текущий период</t>
  </si>
  <si>
    <t>Плановые показатели на следующий период</t>
  </si>
  <si>
    <t>тыс. рублей</t>
  </si>
  <si>
    <t>Расходы по выполнению мероприятий по технологическому присоединению,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</si>
  <si>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</si>
  <si>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</si>
  <si>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</si>
  <si>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</si>
  <si>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</si>
  <si>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>в том числе:</t>
  </si>
  <si>
    <t xml:space="preserve">вспомогательные материалы </t>
  </si>
  <si>
    <t xml:space="preserve">энергия на хозяйственные нужды </t>
  </si>
  <si>
    <t>оплата труда</t>
  </si>
  <si>
    <t xml:space="preserve">отчисления на страховые взносы 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</si>
  <si>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</si>
  <si>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</si>
  <si>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</si>
  <si>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</si>
  <si>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</si>
  <si>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</si>
  <si>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</si>
  <si>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 xml:space="preserve">процент за пользование кредитом </t>
  </si>
  <si>
    <t>прочие обоснованные расходы</t>
  </si>
  <si>
    <t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</si>
  <si>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</si>
  <si>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>Выпадающие доходы (экономия средств)</t>
  </si>
  <si>
    <t>Итого (размер необходимой валовой выручки)</t>
  </si>
  <si>
    <t>Приложение N 8</t>
  </si>
  <si>
    <t>ИНФОРМАЦИЯ</t>
  </si>
  <si>
    <t xml:space="preserve">                                      об осуществлении технологического присоединения по договорам, заключенным за текущий год </t>
  </si>
  <si>
    <t xml:space="preserve">                  в ПАО "Волгоградоблэлектро"</t>
  </si>
  <si>
    <t>Категория заявителей</t>
  </si>
  <si>
    <t>Количество договор (штук)</t>
  </si>
  <si>
    <t>Максимальная мощность (кВт)</t>
  </si>
  <si>
    <t>Стоимость договоров (без НДС) (тыс.рублей)</t>
  </si>
  <si>
    <t>1-20 кВ</t>
  </si>
  <si>
    <t>35 кВ и выше</t>
  </si>
  <si>
    <t>До 15 кВт - всего                       в том числе                             льготная категория*</t>
  </si>
  <si>
    <t xml:space="preserve"> - </t>
  </si>
  <si>
    <t xml:space="preserve">От 15 до 150 кВт - всего
в том числе
льготная категория**
</t>
  </si>
  <si>
    <t xml:space="preserve">От 150 кВт до 670 кВт - всего
в том числе
по индивидуальному проекту
</t>
  </si>
  <si>
    <t>4.</t>
  </si>
  <si>
    <t xml:space="preserve">От 670 кВт до 8900 кВт - всего
в том числе
по индивидуальному проекту
</t>
  </si>
  <si>
    <t>5.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</si>
  <si>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</si>
  <si>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</si>
  <si>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</si>
  <si>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</si>
  <si>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 9</t>
  </si>
  <si>
    <t xml:space="preserve"> о поданных заявках на технологического присоединения  за текущий год </t>
  </si>
  <si>
    <t>в ПАО "Волгоградоблэлектро"</t>
  </si>
  <si>
    <t>строительство воздушных линий (материал провода - алюминиевые жилы)</t>
  </si>
  <si>
    <t>строительство кабельных линий (материал провода - алюминиевые жилы)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</si>
  <si>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</si>
  <si>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ВЛИ-0,4 кВ (материал провода - алюминивые жилы)</t>
  </si>
  <si>
    <t>ВЛ-6/10 кВ (материал провода - алюминивые жилы)</t>
  </si>
  <si>
    <t>КЛ-0,4 кВ (материал провода - алюминивые жилы)</t>
  </si>
  <si>
    <t>КЛ-6/10 кВ (материал провода - алюминивые жилы)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</si>
</sst>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Alignment="1"/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1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s_eng6\AppData\Local\Microsoft\Windows\Temporary%20Internet%20Files\Content.Outlook\KON35H09\&#1057;&#1090;&#1072;&#1074;&#1082;&#1080;%20&#1085;&#1072;%202016&#1075;_&#1057;&#1082;&#1072;&#1095;&#1082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ила"/>
      <sheetName val="факт с кап_вл за 2014 "/>
      <sheetName val="ставки на 2016г"/>
      <sheetName val="фактич данные (2)"/>
      <sheetName val="Калькуляция до 15 кВт 2016г"/>
      <sheetName val="Калькуляция до 150кВт"/>
      <sheetName val="Калькуляция свыше 150кВт"/>
      <sheetName val="выпад до 15 2016"/>
      <sheetName val="выпад от 15 до 150 кВт без ПСД"/>
      <sheetName val="Прилож 2 до 15кВт"/>
      <sheetName val="Прилож 2 свыше 15кВт до 150кВт"/>
      <sheetName val="Прилож 2 свыше 150кВт"/>
      <sheetName val="прилож 3"/>
      <sheetName val="Свод по выпа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171.46</v>
          </cell>
        </row>
        <row r="28">
          <cell r="E28">
            <v>196.49</v>
          </cell>
        </row>
        <row r="29">
          <cell r="E29">
            <v>68.77</v>
          </cell>
        </row>
        <row r="30">
          <cell r="E30">
            <v>588.38</v>
          </cell>
        </row>
      </sheetData>
      <sheetData sheetId="11">
        <row r="16">
          <cell r="E16">
            <v>36.28</v>
          </cell>
        </row>
        <row r="28">
          <cell r="E28">
            <v>38.39</v>
          </cell>
        </row>
        <row r="29">
          <cell r="E29">
            <v>14.55</v>
          </cell>
        </row>
        <row r="30">
          <cell r="E30">
            <v>109.82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3" sqref="A3:B3"/>
    </sheetView>
  </sheetViews>
  <sheetFormatPr defaultRowHeight="15.75" x14ac:dyDescent="0.25"/>
  <cols>
    <col min="1" max="16384" width="9.140625" style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1" t="s">
        <v>2</v>
      </c>
    </row>
    <row r="4" spans="1:7" x14ac:dyDescent="0.25">
      <c r="G4" s="1" t="s">
        <v>3</v>
      </c>
    </row>
    <row r="6" spans="1:7" x14ac:dyDescent="0.25">
      <c r="G6" s="1" t="s">
        <v>4</v>
      </c>
    </row>
    <row r="8" spans="1:7" x14ac:dyDescent="0.25">
      <c r="A8" s="1" t="s">
        <v>5</v>
      </c>
    </row>
    <row r="9" spans="1:7" x14ac:dyDescent="0.25">
      <c r="A9" s="1" t="s">
        <v>6</v>
      </c>
    </row>
    <row r="10" spans="1:7" x14ac:dyDescent="0.25">
      <c r="A10" s="1" t="s">
        <v>8</v>
      </c>
    </row>
    <row r="11" spans="1:7" x14ac:dyDescent="0.25">
      <c r="A11" s="1" t="s">
        <v>7</v>
      </c>
    </row>
    <row r="13" spans="1:7" x14ac:dyDescent="0.25">
      <c r="A13" s="1" t="s">
        <v>9</v>
      </c>
    </row>
    <row r="15" spans="1:7" x14ac:dyDescent="0.25">
      <c r="A15" s="1" t="s">
        <v>10</v>
      </c>
    </row>
    <row r="17" spans="1:1" x14ac:dyDescent="0.25">
      <c r="A17" s="1" t="s">
        <v>11</v>
      </c>
    </row>
    <row r="19" spans="1:1" x14ac:dyDescent="0.25">
      <c r="A19" s="1" t="s">
        <v>12</v>
      </c>
    </row>
    <row r="21" spans="1:1" x14ac:dyDescent="0.25">
      <c r="A21" s="1" t="s">
        <v>14</v>
      </c>
    </row>
    <row r="23" spans="1:1" x14ac:dyDescent="0.25">
      <c r="A23" s="1" t="s">
        <v>13</v>
      </c>
    </row>
    <row r="25" spans="1:1" x14ac:dyDescent="0.25">
      <c r="A25" s="1" t="s">
        <v>15</v>
      </c>
    </row>
    <row r="27" spans="1:1" x14ac:dyDescent="0.25">
      <c r="A27" s="1" t="s">
        <v>16</v>
      </c>
    </row>
    <row r="29" spans="1:1" x14ac:dyDescent="0.25">
      <c r="A29" s="1" t="s">
        <v>17</v>
      </c>
    </row>
    <row r="31" spans="1:1" x14ac:dyDescent="0.25">
      <c r="A31" s="1" t="s">
        <v>18</v>
      </c>
    </row>
  </sheetData>
  <pageMargins left="0.70866141732283472" right="0.59055118110236227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10" workbookViewId="0">
      <selection activeCell="L19" sqref="L19"/>
    </sheetView>
  </sheetViews>
  <sheetFormatPr defaultRowHeight="15.75" x14ac:dyDescent="0.25"/>
  <cols>
    <col min="1" max="1" width="9.140625" style="1"/>
    <col min="2" max="2" width="54.7109375" style="1" customWidth="1"/>
    <col min="3" max="3" width="11.5703125" style="1" customWidth="1"/>
    <col min="4" max="7" width="15.7109375" style="1" customWidth="1"/>
    <col min="8" max="16384" width="9.140625" style="1"/>
  </cols>
  <sheetData>
    <row r="1" spans="1:7" x14ac:dyDescent="0.25">
      <c r="F1" s="1" t="s">
        <v>19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6" spans="1:7" x14ac:dyDescent="0.25">
      <c r="F6" s="1" t="s">
        <v>4</v>
      </c>
    </row>
    <row r="9" spans="1:7" x14ac:dyDescent="0.25">
      <c r="A9" s="46" t="s">
        <v>23</v>
      </c>
      <c r="B9" s="47"/>
      <c r="C9" s="47"/>
      <c r="D9" s="47"/>
      <c r="E9" s="47"/>
      <c r="F9" s="47"/>
      <c r="G9" s="47"/>
    </row>
    <row r="10" spans="1:7" x14ac:dyDescent="0.25">
      <c r="A10" s="48" t="s">
        <v>24</v>
      </c>
      <c r="B10" s="48"/>
      <c r="C10" s="48"/>
      <c r="D10" s="48"/>
      <c r="E10" s="48"/>
      <c r="F10" s="48"/>
      <c r="G10" s="48"/>
    </row>
    <row r="11" spans="1:7" x14ac:dyDescent="0.25">
      <c r="A11" s="48" t="s">
        <v>25</v>
      </c>
      <c r="B11" s="48"/>
      <c r="C11" s="48"/>
      <c r="D11" s="48"/>
      <c r="E11" s="48"/>
      <c r="F11" s="48"/>
      <c r="G11" s="48"/>
    </row>
    <row r="12" spans="1:7" x14ac:dyDescent="0.25">
      <c r="A12" s="48" t="s">
        <v>26</v>
      </c>
      <c r="B12" s="48"/>
      <c r="C12" s="48"/>
      <c r="D12" s="48"/>
      <c r="E12" s="48"/>
      <c r="F12" s="48"/>
      <c r="G12" s="48"/>
    </row>
    <row r="13" spans="1:7" x14ac:dyDescent="0.25">
      <c r="A13" s="48" t="s">
        <v>27</v>
      </c>
      <c r="B13" s="48"/>
      <c r="C13" s="48"/>
      <c r="D13" s="48"/>
      <c r="E13" s="48"/>
      <c r="F13" s="48"/>
      <c r="G13" s="48"/>
    </row>
    <row r="14" spans="1:7" x14ac:dyDescent="0.25">
      <c r="A14" s="48" t="s">
        <v>28</v>
      </c>
      <c r="B14" s="48"/>
      <c r="C14" s="48"/>
      <c r="D14" s="48"/>
      <c r="E14" s="48"/>
      <c r="F14" s="48"/>
      <c r="G14" s="48"/>
    </row>
    <row r="16" spans="1:7" ht="35.25" customHeight="1" x14ac:dyDescent="0.25">
      <c r="A16" s="56" t="s">
        <v>29</v>
      </c>
      <c r="B16" s="57"/>
      <c r="C16" s="53" t="s">
        <v>30</v>
      </c>
      <c r="D16" s="51" t="s">
        <v>31</v>
      </c>
      <c r="E16" s="51"/>
      <c r="F16" s="51"/>
      <c r="G16" s="52"/>
    </row>
    <row r="17" spans="1:7" x14ac:dyDescent="0.25">
      <c r="A17" s="58"/>
      <c r="B17" s="59"/>
      <c r="C17" s="54"/>
      <c r="D17" s="49" t="s">
        <v>32</v>
      </c>
      <c r="E17" s="50"/>
      <c r="F17" s="49" t="s">
        <v>33</v>
      </c>
      <c r="G17" s="50"/>
    </row>
    <row r="18" spans="1:7" x14ac:dyDescent="0.25">
      <c r="A18" s="60"/>
      <c r="B18" s="61"/>
      <c r="C18" s="55"/>
      <c r="D18" s="3" t="s">
        <v>52</v>
      </c>
      <c r="E18" s="3" t="s">
        <v>53</v>
      </c>
      <c r="F18" s="3" t="s">
        <v>52</v>
      </c>
      <c r="G18" s="3" t="s">
        <v>53</v>
      </c>
    </row>
    <row r="19" spans="1:7" ht="189" x14ac:dyDescent="0.25">
      <c r="A19" s="4" t="s">
        <v>36</v>
      </c>
      <c r="B19" s="5" t="s">
        <v>34</v>
      </c>
      <c r="C19" s="4" t="s">
        <v>35</v>
      </c>
      <c r="D19" s="8">
        <f>D20+D21+D22+D23</f>
        <v>1025.0999999999999</v>
      </c>
      <c r="E19" s="8">
        <f>E20+E21+E22+E23</f>
        <v>199.04</v>
      </c>
      <c r="F19" s="8">
        <f t="shared" ref="F19:G23" si="0">D19</f>
        <v>1025.0999999999999</v>
      </c>
      <c r="G19" s="8">
        <f t="shared" si="0"/>
        <v>199.04</v>
      </c>
    </row>
    <row r="20" spans="1:7" ht="47.25" x14ac:dyDescent="0.25">
      <c r="A20" s="4" t="s">
        <v>38</v>
      </c>
      <c r="B20" s="5" t="s">
        <v>37</v>
      </c>
      <c r="C20" s="4" t="s">
        <v>35</v>
      </c>
      <c r="D20" s="7">
        <f>'[1]Прилож 2 свыше 15кВт до 150кВт'!$E$16</f>
        <v>171.46</v>
      </c>
      <c r="E20" s="7">
        <f>'[1]Прилож 2 свыше 150кВт'!$E$16</f>
        <v>36.28</v>
      </c>
      <c r="F20" s="8">
        <f t="shared" si="0"/>
        <v>171.46</v>
      </c>
      <c r="G20" s="8">
        <f t="shared" si="0"/>
        <v>36.28</v>
      </c>
    </row>
    <row r="21" spans="1:7" ht="47.25" x14ac:dyDescent="0.25">
      <c r="A21" s="4" t="s">
        <v>39</v>
      </c>
      <c r="B21" s="5" t="s">
        <v>40</v>
      </c>
      <c r="C21" s="4" t="s">
        <v>35</v>
      </c>
      <c r="D21" s="7">
        <f>'[1]Прилож 2 свыше 15кВт до 150кВт'!$E$28</f>
        <v>196.49</v>
      </c>
      <c r="E21" s="7">
        <f>'[1]Прилож 2 свыше 150кВт'!$E$28</f>
        <v>38.39</v>
      </c>
      <c r="F21" s="8">
        <f t="shared" si="0"/>
        <v>196.49</v>
      </c>
      <c r="G21" s="8">
        <f t="shared" si="0"/>
        <v>38.39</v>
      </c>
    </row>
    <row r="22" spans="1:7" ht="78.75" x14ac:dyDescent="0.25">
      <c r="A22" s="4" t="s">
        <v>42</v>
      </c>
      <c r="B22" s="5" t="s">
        <v>47</v>
      </c>
      <c r="C22" s="4" t="s">
        <v>35</v>
      </c>
      <c r="D22" s="7">
        <f>'[1]Прилож 2 свыше 15кВт до 150кВт'!$E$29</f>
        <v>68.77</v>
      </c>
      <c r="E22" s="7">
        <f>'[1]Прилож 2 свыше 150кВт'!$E$29</f>
        <v>14.55</v>
      </c>
      <c r="F22" s="8">
        <f t="shared" si="0"/>
        <v>68.77</v>
      </c>
      <c r="G22" s="8">
        <f t="shared" si="0"/>
        <v>14.55</v>
      </c>
    </row>
    <row r="23" spans="1:7" ht="94.5" x14ac:dyDescent="0.25">
      <c r="A23" s="4" t="s">
        <v>43</v>
      </c>
      <c r="B23" s="5" t="s">
        <v>48</v>
      </c>
      <c r="C23" s="4" t="s">
        <v>35</v>
      </c>
      <c r="D23" s="7">
        <f>'[1]Прилож 2 свыше 15кВт до 150кВт'!$E$30</f>
        <v>588.38</v>
      </c>
      <c r="E23" s="7">
        <f>'[1]Прилож 2 свыше 150кВт'!$E$30</f>
        <v>109.82</v>
      </c>
      <c r="F23" s="8">
        <f t="shared" si="0"/>
        <v>588.38</v>
      </c>
      <c r="G23" s="8">
        <f t="shared" si="0"/>
        <v>109.82</v>
      </c>
    </row>
    <row r="24" spans="1:7" ht="141.75" x14ac:dyDescent="0.25">
      <c r="A24" s="4" t="s">
        <v>44</v>
      </c>
      <c r="B24" s="5" t="s">
        <v>49</v>
      </c>
      <c r="C24" s="4" t="s">
        <v>41</v>
      </c>
      <c r="D24" s="8"/>
      <c r="E24" s="8"/>
      <c r="F24" s="8"/>
      <c r="G24" s="8"/>
    </row>
    <row r="25" spans="1:7" x14ac:dyDescent="0.25">
      <c r="A25" s="4"/>
      <c r="B25" s="5" t="s">
        <v>158</v>
      </c>
      <c r="C25" s="4" t="s">
        <v>41</v>
      </c>
      <c r="D25" s="7">
        <v>582173</v>
      </c>
      <c r="E25" s="7">
        <v>680797</v>
      </c>
      <c r="F25" s="6"/>
      <c r="G25" s="6"/>
    </row>
    <row r="26" spans="1:7" x14ac:dyDescent="0.25">
      <c r="A26" s="4"/>
      <c r="B26" s="5" t="s">
        <v>159</v>
      </c>
      <c r="C26" s="4" t="s">
        <v>41</v>
      </c>
      <c r="D26" s="7">
        <v>486292</v>
      </c>
      <c r="E26" s="7">
        <v>615254</v>
      </c>
      <c r="F26" s="6"/>
      <c r="G26" s="6"/>
    </row>
    <row r="27" spans="1:7" ht="141.75" x14ac:dyDescent="0.25">
      <c r="A27" s="4" t="s">
        <v>45</v>
      </c>
      <c r="B27" s="5" t="s">
        <v>50</v>
      </c>
      <c r="C27" s="4" t="s">
        <v>41</v>
      </c>
      <c r="D27" s="7"/>
      <c r="E27" s="7"/>
      <c r="F27" s="6"/>
      <c r="G27" s="6"/>
    </row>
    <row r="28" spans="1:7" x14ac:dyDescent="0.25">
      <c r="A28" s="4"/>
      <c r="B28" s="5" t="s">
        <v>160</v>
      </c>
      <c r="C28" s="4" t="s">
        <v>41</v>
      </c>
      <c r="D28" s="7">
        <v>262115</v>
      </c>
      <c r="E28" s="7">
        <v>1001394</v>
      </c>
      <c r="F28" s="6"/>
      <c r="G28" s="6"/>
    </row>
    <row r="29" spans="1:7" x14ac:dyDescent="0.25">
      <c r="A29" s="4"/>
      <c r="B29" s="5" t="s">
        <v>161</v>
      </c>
      <c r="C29" s="4" t="s">
        <v>41</v>
      </c>
      <c r="D29" s="7">
        <v>799103</v>
      </c>
      <c r="E29" s="7">
        <v>566743</v>
      </c>
      <c r="F29" s="6"/>
      <c r="G29" s="6"/>
    </row>
    <row r="30" spans="1:7" ht="110.25" x14ac:dyDescent="0.25">
      <c r="A30" s="4" t="s">
        <v>46</v>
      </c>
      <c r="B30" s="5" t="s">
        <v>51</v>
      </c>
      <c r="C30" s="4" t="s">
        <v>35</v>
      </c>
      <c r="D30" s="7"/>
      <c r="E30" s="7"/>
      <c r="F30" s="6"/>
      <c r="G30" s="6"/>
    </row>
    <row r="31" spans="1:7" x14ac:dyDescent="0.25">
      <c r="A31" s="4"/>
      <c r="B31" s="5" t="s">
        <v>54</v>
      </c>
      <c r="C31" s="4" t="s">
        <v>35</v>
      </c>
      <c r="D31" s="7">
        <v>951.46</v>
      </c>
      <c r="E31" s="7"/>
      <c r="F31" s="6"/>
      <c r="G31" s="6"/>
    </row>
    <row r="32" spans="1:7" x14ac:dyDescent="0.25">
      <c r="A32" s="4"/>
      <c r="B32" s="5" t="s">
        <v>55</v>
      </c>
      <c r="C32" s="4" t="s">
        <v>35</v>
      </c>
      <c r="D32" s="7">
        <v>1106.95</v>
      </c>
      <c r="E32" s="7"/>
      <c r="F32" s="6"/>
      <c r="G32" s="6"/>
    </row>
    <row r="33" spans="1:7" x14ac:dyDescent="0.25">
      <c r="A33" s="4"/>
      <c r="B33" s="5" t="s">
        <v>56</v>
      </c>
      <c r="C33" s="4" t="s">
        <v>35</v>
      </c>
      <c r="D33" s="7">
        <v>702.85</v>
      </c>
      <c r="E33" s="7"/>
      <c r="F33" s="6"/>
      <c r="G33" s="6"/>
    </row>
    <row r="34" spans="1:7" x14ac:dyDescent="0.25">
      <c r="A34" s="4"/>
      <c r="B34" s="5" t="s">
        <v>57</v>
      </c>
      <c r="C34" s="4" t="s">
        <v>35</v>
      </c>
      <c r="D34" s="7">
        <v>848.67</v>
      </c>
      <c r="E34" s="7"/>
      <c r="F34" s="6"/>
      <c r="G34" s="6"/>
    </row>
    <row r="35" spans="1:7" x14ac:dyDescent="0.25">
      <c r="A35" s="4"/>
      <c r="B35" s="5" t="s">
        <v>58</v>
      </c>
      <c r="C35" s="4" t="s">
        <v>35</v>
      </c>
      <c r="D35" s="7">
        <v>442.02</v>
      </c>
      <c r="E35" s="7">
        <v>578.20000000000005</v>
      </c>
      <c r="F35" s="6"/>
      <c r="G35" s="6"/>
    </row>
    <row r="36" spans="1:7" x14ac:dyDescent="0.25">
      <c r="A36" s="4"/>
      <c r="B36" s="5" t="s">
        <v>59</v>
      </c>
      <c r="C36" s="4" t="s">
        <v>35</v>
      </c>
      <c r="D36" s="7">
        <v>320.25</v>
      </c>
      <c r="E36" s="7"/>
      <c r="F36" s="6"/>
      <c r="G36" s="6"/>
    </row>
    <row r="37" spans="1:7" x14ac:dyDescent="0.25">
      <c r="A37" s="4"/>
      <c r="B37" s="5" t="s">
        <v>60</v>
      </c>
      <c r="C37" s="4" t="s">
        <v>35</v>
      </c>
      <c r="D37" s="7">
        <f>503.4*2</f>
        <v>1006.8</v>
      </c>
      <c r="E37" s="7">
        <f>582.24*2</f>
        <v>1164.48</v>
      </c>
      <c r="F37" s="6"/>
      <c r="G37" s="6"/>
    </row>
    <row r="38" spans="1:7" x14ac:dyDescent="0.25">
      <c r="A38" s="4"/>
      <c r="B38" s="5" t="s">
        <v>61</v>
      </c>
      <c r="C38" s="4" t="s">
        <v>35</v>
      </c>
      <c r="D38" s="7">
        <f>410.87*2</f>
        <v>821.74</v>
      </c>
      <c r="E38" s="7">
        <f>410.83*2</f>
        <v>821.66</v>
      </c>
      <c r="F38" s="6"/>
      <c r="G38" s="6"/>
    </row>
    <row r="39" spans="1:7" x14ac:dyDescent="0.25">
      <c r="A39" s="4"/>
      <c r="B39" s="5" t="s">
        <v>62</v>
      </c>
      <c r="C39" s="4" t="s">
        <v>35</v>
      </c>
      <c r="D39" s="7"/>
      <c r="E39" s="7">
        <f>313.02*2</f>
        <v>626.04</v>
      </c>
      <c r="F39" s="6"/>
      <c r="G39" s="6"/>
    </row>
    <row r="40" spans="1:7" x14ac:dyDescent="0.25">
      <c r="A40" s="4"/>
      <c r="B40" s="5" t="s">
        <v>63</v>
      </c>
      <c r="C40" s="4" t="s">
        <v>35</v>
      </c>
      <c r="D40" s="7"/>
      <c r="E40" s="7">
        <f>248.12*2</f>
        <v>496.24</v>
      </c>
      <c r="F40" s="6"/>
      <c r="G40" s="6"/>
    </row>
    <row r="43" spans="1:7" ht="44.25" customHeight="1" x14ac:dyDescent="0.25">
      <c r="A43" s="45" t="s">
        <v>20</v>
      </c>
      <c r="B43" s="45"/>
      <c r="C43" s="45"/>
      <c r="D43" s="45"/>
      <c r="E43" s="45"/>
      <c r="F43" s="45"/>
      <c r="G43" s="45"/>
    </row>
  </sheetData>
  <mergeCells count="12">
    <mergeCell ref="A43:G43"/>
    <mergeCell ref="A9:G9"/>
    <mergeCell ref="A10:G10"/>
    <mergeCell ref="A11:G11"/>
    <mergeCell ref="A12:G12"/>
    <mergeCell ref="A13:G13"/>
    <mergeCell ref="A14:G14"/>
    <mergeCell ref="D17:E17"/>
    <mergeCell ref="F17:G17"/>
    <mergeCell ref="D16:G16"/>
    <mergeCell ref="C16:C18"/>
    <mergeCell ref="A16:B18"/>
  </mergeCells>
  <pageMargins left="0.70866141732283472" right="0" top="0" bottom="0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19" workbookViewId="0">
      <selection activeCell="B25" sqref="B25:E31"/>
    </sheetView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E1" s="1" t="s">
        <v>64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E6" s="1" t="s">
        <v>4</v>
      </c>
    </row>
    <row r="9" spans="1:5" x14ac:dyDescent="0.25">
      <c r="A9" s="46" t="s">
        <v>101</v>
      </c>
      <c r="B9" s="46"/>
      <c r="C9" s="46"/>
      <c r="D9" s="46"/>
      <c r="E9" s="46"/>
    </row>
    <row r="11" spans="1:5" ht="94.5" x14ac:dyDescent="0.25">
      <c r="A11" s="51" t="s">
        <v>21</v>
      </c>
      <c r="B11" s="62"/>
      <c r="C11" s="3" t="s">
        <v>22</v>
      </c>
      <c r="D11" s="3" t="s">
        <v>65</v>
      </c>
      <c r="E11" s="3" t="s">
        <v>66</v>
      </c>
    </row>
    <row r="12" spans="1:5" ht="47.25" x14ac:dyDescent="0.25">
      <c r="A12" s="8">
        <v>1</v>
      </c>
      <c r="B12" s="5" t="s">
        <v>91</v>
      </c>
      <c r="C12" s="9"/>
      <c r="D12" s="9"/>
      <c r="E12" s="9"/>
    </row>
    <row r="13" spans="1:5" x14ac:dyDescent="0.25">
      <c r="A13" s="8"/>
      <c r="B13" s="5" t="s">
        <v>32</v>
      </c>
      <c r="C13" s="9">
        <v>1203644.33</v>
      </c>
      <c r="D13" s="9">
        <v>7019.88</v>
      </c>
      <c r="E13" s="9">
        <f>ROUND(C13/D13,2)</f>
        <v>171.46</v>
      </c>
    </row>
    <row r="14" spans="1:5" x14ac:dyDescent="0.25">
      <c r="A14" s="8"/>
      <c r="B14" s="5" t="s">
        <v>33</v>
      </c>
      <c r="C14" s="9"/>
      <c r="D14" s="9"/>
      <c r="E14" s="9"/>
    </row>
    <row r="15" spans="1:5" ht="47.25" x14ac:dyDescent="0.25">
      <c r="A15" s="8">
        <v>2</v>
      </c>
      <c r="B15" s="5" t="s">
        <v>92</v>
      </c>
      <c r="C15" s="9"/>
      <c r="D15" s="9"/>
      <c r="E15" s="9"/>
    </row>
    <row r="16" spans="1:5" ht="47.25" x14ac:dyDescent="0.25">
      <c r="A16" s="8">
        <v>3</v>
      </c>
      <c r="B16" s="5" t="s">
        <v>93</v>
      </c>
      <c r="C16" s="9"/>
      <c r="D16" s="9"/>
      <c r="E16" s="9"/>
    </row>
    <row r="17" spans="1:5" ht="47.25" x14ac:dyDescent="0.25">
      <c r="A17" s="8"/>
      <c r="B17" s="5" t="s">
        <v>155</v>
      </c>
      <c r="C17" s="9"/>
      <c r="D17" s="9"/>
      <c r="E17" s="9"/>
    </row>
    <row r="18" spans="1:5" x14ac:dyDescent="0.25">
      <c r="A18" s="8"/>
      <c r="B18" s="11" t="s">
        <v>85</v>
      </c>
      <c r="C18" s="9">
        <v>6810818.6399999997</v>
      </c>
      <c r="D18" s="9">
        <v>865.4</v>
      </c>
      <c r="E18" s="9">
        <f>ROUND(C18/D18,2)</f>
        <v>7870.14</v>
      </c>
    </row>
    <row r="19" spans="1:5" x14ac:dyDescent="0.25">
      <c r="A19" s="8"/>
      <c r="B19" s="11" t="s">
        <v>86</v>
      </c>
      <c r="C19" s="9">
        <v>693241.75</v>
      </c>
      <c r="D19" s="9">
        <v>122.3</v>
      </c>
      <c r="E19" s="9">
        <f>ROUND(C19/D19,2)</f>
        <v>5668.37</v>
      </c>
    </row>
    <row r="20" spans="1:5" ht="47.25" x14ac:dyDescent="0.25">
      <c r="A20" s="8"/>
      <c r="B20" s="5" t="s">
        <v>156</v>
      </c>
      <c r="C20" s="9"/>
      <c r="D20" s="9"/>
      <c r="E20" s="9"/>
    </row>
    <row r="21" spans="1:5" x14ac:dyDescent="0.25">
      <c r="A21" s="8"/>
      <c r="B21" s="11" t="s">
        <v>85</v>
      </c>
      <c r="C21" s="9">
        <v>1589552.39</v>
      </c>
      <c r="D21" s="9">
        <v>96.7</v>
      </c>
      <c r="E21" s="9">
        <f t="shared" ref="E21:E22" si="0">ROUND(C21/D21,2)</f>
        <v>16437.98</v>
      </c>
    </row>
    <row r="22" spans="1:5" x14ac:dyDescent="0.25">
      <c r="A22" s="8"/>
      <c r="B22" s="11" t="s">
        <v>86</v>
      </c>
      <c r="C22" s="9">
        <v>2328522.21</v>
      </c>
      <c r="D22" s="9">
        <v>421.9</v>
      </c>
      <c r="E22" s="9">
        <f t="shared" si="0"/>
        <v>5519.13</v>
      </c>
    </row>
    <row r="23" spans="1:5" ht="31.5" x14ac:dyDescent="0.25">
      <c r="A23" s="8"/>
      <c r="B23" s="5" t="s">
        <v>94</v>
      </c>
      <c r="C23" s="9"/>
      <c r="D23" s="9"/>
      <c r="E23" s="9"/>
    </row>
    <row r="24" spans="1:5" ht="63" x14ac:dyDescent="0.25">
      <c r="A24" s="8"/>
      <c r="B24" s="5" t="s">
        <v>95</v>
      </c>
      <c r="C24" s="9"/>
      <c r="D24" s="9"/>
      <c r="E24" s="9"/>
    </row>
    <row r="25" spans="1:5" x14ac:dyDescent="0.25">
      <c r="A25" s="8"/>
      <c r="B25" s="5" t="s">
        <v>54</v>
      </c>
      <c r="C25" s="9">
        <f>ROUND(951.46*D25*6.07,2)</f>
        <v>128790.58</v>
      </c>
      <c r="D25" s="9">
        <f>ROUND(25*0.89,1)</f>
        <v>22.3</v>
      </c>
      <c r="E25" s="9">
        <f>ROUND(C25/D25,2)</f>
        <v>5775.36</v>
      </c>
    </row>
    <row r="26" spans="1:5" x14ac:dyDescent="0.25">
      <c r="A26" s="8"/>
      <c r="B26" s="5" t="s">
        <v>55</v>
      </c>
      <c r="C26" s="9">
        <f>ROUND(1106.95*D26*6.07,2)</f>
        <v>376946.36</v>
      </c>
      <c r="D26" s="9">
        <f>ROUND(63*0.89,1)</f>
        <v>56.1</v>
      </c>
      <c r="E26" s="9">
        <f>ROUND(C26/D26,2)</f>
        <v>6719.19</v>
      </c>
    </row>
    <row r="27" spans="1:5" x14ac:dyDescent="0.25">
      <c r="A27" s="8"/>
      <c r="B27" s="5" t="s">
        <v>56</v>
      </c>
      <c r="C27" s="9">
        <f>ROUND(702.85*D27*6.07,2)</f>
        <v>379700.66</v>
      </c>
      <c r="D27" s="9">
        <f>ROUND(100*0.89,1)</f>
        <v>89</v>
      </c>
      <c r="E27" s="9">
        <f t="shared" ref="E27:E30" si="1">ROUND(C27/D27,2)</f>
        <v>4266.3</v>
      </c>
    </row>
    <row r="28" spans="1:5" x14ac:dyDescent="0.25">
      <c r="A28" s="8"/>
      <c r="B28" s="5" t="s">
        <v>57</v>
      </c>
      <c r="C28" s="9">
        <f>ROUND(848.67*D28*6.07,2)</f>
        <v>733563.19</v>
      </c>
      <c r="D28" s="9">
        <f>ROUND(160*0.89,1)</f>
        <v>142.4</v>
      </c>
      <c r="E28" s="9">
        <f t="shared" si="1"/>
        <v>5151.43</v>
      </c>
    </row>
    <row r="29" spans="1:5" x14ac:dyDescent="0.25">
      <c r="A29" s="8"/>
      <c r="B29" s="5" t="s">
        <v>58</v>
      </c>
      <c r="C29" s="9">
        <f>ROUND(442.02*D29*6.07,2)</f>
        <v>1790943.48</v>
      </c>
      <c r="D29" s="9">
        <f>ROUND(250*3*0.89,1)</f>
        <v>667.5</v>
      </c>
      <c r="E29" s="9">
        <f t="shared" si="1"/>
        <v>2683.06</v>
      </c>
    </row>
    <row r="30" spans="1:5" x14ac:dyDescent="0.25">
      <c r="A30" s="8"/>
      <c r="B30" s="5" t="s">
        <v>59</v>
      </c>
      <c r="C30" s="9">
        <f>ROUND(320.25*D30*6.07,2)</f>
        <v>692034.63</v>
      </c>
      <c r="D30" s="9">
        <f>ROUND(400*0.89,1)</f>
        <v>356</v>
      </c>
      <c r="E30" s="9">
        <f t="shared" si="1"/>
        <v>1943.92</v>
      </c>
    </row>
    <row r="31" spans="1:5" x14ac:dyDescent="0.25">
      <c r="A31" s="8"/>
      <c r="B31" s="5" t="s">
        <v>60</v>
      </c>
      <c r="C31" s="9">
        <f>ROUND(503.4*D31*6.07,2)</f>
        <v>1359758.91</v>
      </c>
      <c r="D31" s="9">
        <f>ROUND(2*250*0.89,1)</f>
        <v>445</v>
      </c>
      <c r="E31" s="9">
        <f>ROUND(C31/D31*2,2)</f>
        <v>6111.28</v>
      </c>
    </row>
    <row r="32" spans="1:5" ht="47.25" x14ac:dyDescent="0.25">
      <c r="A32" s="8"/>
      <c r="B32" s="5" t="s">
        <v>96</v>
      </c>
      <c r="C32" s="9"/>
      <c r="D32" s="9"/>
      <c r="E32" s="9"/>
    </row>
    <row r="33" spans="1:5" ht="47.25" x14ac:dyDescent="0.25">
      <c r="A33" s="8">
        <v>4</v>
      </c>
      <c r="B33" s="5" t="s">
        <v>97</v>
      </c>
      <c r="C33" s="9"/>
      <c r="D33" s="9"/>
      <c r="E33" s="9"/>
    </row>
    <row r="34" spans="1:5" x14ac:dyDescent="0.25">
      <c r="A34" s="8"/>
      <c r="B34" s="5" t="s">
        <v>32</v>
      </c>
      <c r="C34" s="9">
        <v>1379363.53</v>
      </c>
      <c r="D34" s="9">
        <v>7019.88</v>
      </c>
      <c r="E34" s="9">
        <f>ROUND(C34/D34,2)</f>
        <v>196.49</v>
      </c>
    </row>
    <row r="35" spans="1:5" x14ac:dyDescent="0.25">
      <c r="A35" s="8"/>
      <c r="B35" s="5" t="s">
        <v>33</v>
      </c>
      <c r="C35" s="9"/>
      <c r="D35" s="9"/>
      <c r="E35" s="9"/>
    </row>
    <row r="36" spans="1:5" ht="78.75" x14ac:dyDescent="0.25">
      <c r="A36" s="8">
        <v>5</v>
      </c>
      <c r="B36" s="5" t="s">
        <v>98</v>
      </c>
      <c r="C36" s="9"/>
      <c r="D36" s="9"/>
      <c r="E36" s="9"/>
    </row>
    <row r="37" spans="1:5" x14ac:dyDescent="0.25">
      <c r="A37" s="8"/>
      <c r="B37" s="5" t="s">
        <v>32</v>
      </c>
      <c r="C37" s="9">
        <v>482745.05</v>
      </c>
      <c r="D37" s="9">
        <v>7019.88</v>
      </c>
      <c r="E37" s="9">
        <f>ROUND(C37/D37,2)</f>
        <v>68.77</v>
      </c>
    </row>
    <row r="38" spans="1:5" x14ac:dyDescent="0.25">
      <c r="A38" s="8"/>
      <c r="B38" s="5" t="s">
        <v>33</v>
      </c>
      <c r="C38" s="9"/>
      <c r="D38" s="9"/>
      <c r="E38" s="9"/>
    </row>
    <row r="39" spans="1:5" ht="157.5" x14ac:dyDescent="0.25">
      <c r="A39" s="8" t="s">
        <v>99</v>
      </c>
      <c r="B39" s="5" t="s">
        <v>100</v>
      </c>
      <c r="C39" s="9"/>
      <c r="D39" s="9"/>
      <c r="E39" s="9"/>
    </row>
    <row r="40" spans="1:5" x14ac:dyDescent="0.25">
      <c r="A40" s="8"/>
      <c r="B40" s="5" t="s">
        <v>32</v>
      </c>
      <c r="C40" s="9">
        <v>4130366.68</v>
      </c>
      <c r="D40" s="9">
        <v>7019.88</v>
      </c>
      <c r="E40" s="9">
        <f>ROUND(C40/D40,2)</f>
        <v>588.38</v>
      </c>
    </row>
    <row r="41" spans="1:5" x14ac:dyDescent="0.25">
      <c r="A41" s="8"/>
      <c r="B41" s="5" t="s">
        <v>33</v>
      </c>
      <c r="C41" s="9"/>
      <c r="D41" s="9"/>
      <c r="E41" s="9"/>
    </row>
    <row r="42" spans="1:5" x14ac:dyDescent="0.25">
      <c r="B42" s="2"/>
    </row>
    <row r="43" spans="1:5" ht="45" customHeight="1" x14ac:dyDescent="0.25">
      <c r="A43" s="45" t="s">
        <v>157</v>
      </c>
      <c r="B43" s="63"/>
      <c r="C43" s="63"/>
      <c r="D43" s="63"/>
      <c r="E43" s="63"/>
    </row>
  </sheetData>
  <mergeCells count="3">
    <mergeCell ref="A11:B11"/>
    <mergeCell ref="A9:E9"/>
    <mergeCell ref="A43:E4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13" workbookViewId="0">
      <selection activeCell="B25" sqref="B25:E29"/>
    </sheetView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E1" s="1" t="s">
        <v>64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E6" s="1" t="s">
        <v>4</v>
      </c>
    </row>
    <row r="9" spans="1:5" x14ac:dyDescent="0.25">
      <c r="A9" s="46" t="s">
        <v>102</v>
      </c>
      <c r="B9" s="46"/>
      <c r="C9" s="46"/>
      <c r="D9" s="46"/>
      <c r="E9" s="46"/>
    </row>
    <row r="11" spans="1:5" ht="94.5" x14ac:dyDescent="0.25">
      <c r="A11" s="51" t="s">
        <v>21</v>
      </c>
      <c r="B11" s="62"/>
      <c r="C11" s="3" t="s">
        <v>22</v>
      </c>
      <c r="D11" s="3" t="s">
        <v>65</v>
      </c>
      <c r="E11" s="3" t="s">
        <v>66</v>
      </c>
    </row>
    <row r="12" spans="1:5" ht="47.25" x14ac:dyDescent="0.25">
      <c r="A12" s="8">
        <v>1</v>
      </c>
      <c r="B12" s="5" t="s">
        <v>91</v>
      </c>
      <c r="C12" s="9"/>
      <c r="D12" s="9"/>
      <c r="E12" s="9"/>
    </row>
    <row r="13" spans="1:5" x14ac:dyDescent="0.25">
      <c r="A13" s="8"/>
      <c r="B13" s="5" t="s">
        <v>32</v>
      </c>
      <c r="C13" s="9">
        <v>147254.60999999999</v>
      </c>
      <c r="D13" s="9">
        <v>4058.63</v>
      </c>
      <c r="E13" s="9">
        <f>ROUND(C13/D13,2)</f>
        <v>36.28</v>
      </c>
    </row>
    <row r="14" spans="1:5" x14ac:dyDescent="0.25">
      <c r="A14" s="8"/>
      <c r="B14" s="5" t="s">
        <v>33</v>
      </c>
      <c r="C14" s="9"/>
      <c r="D14" s="9"/>
      <c r="E14" s="9"/>
    </row>
    <row r="15" spans="1:5" ht="47.25" x14ac:dyDescent="0.25">
      <c r="A15" s="8">
        <v>2</v>
      </c>
      <c r="B15" s="5" t="s">
        <v>92</v>
      </c>
      <c r="C15" s="9"/>
      <c r="D15" s="9"/>
      <c r="E15" s="9"/>
    </row>
    <row r="16" spans="1:5" ht="47.25" x14ac:dyDescent="0.25">
      <c r="A16" s="8">
        <v>3</v>
      </c>
      <c r="B16" s="5" t="s">
        <v>93</v>
      </c>
      <c r="C16" s="9"/>
      <c r="D16" s="9"/>
      <c r="E16" s="9"/>
    </row>
    <row r="17" spans="1:5" ht="47.25" x14ac:dyDescent="0.25">
      <c r="A17" s="8"/>
      <c r="B17" s="5" t="s">
        <v>155</v>
      </c>
      <c r="C17" s="9"/>
      <c r="D17" s="9"/>
      <c r="E17" s="9"/>
    </row>
    <row r="18" spans="1:5" x14ac:dyDescent="0.25">
      <c r="A18" s="8"/>
      <c r="B18" s="11" t="s">
        <v>85</v>
      </c>
      <c r="C18" s="12">
        <v>827685.76</v>
      </c>
      <c r="D18" s="12">
        <v>224</v>
      </c>
      <c r="E18" s="12">
        <f>ROUND(C18/D18,2)</f>
        <v>3695.03</v>
      </c>
    </row>
    <row r="19" spans="1:5" x14ac:dyDescent="0.25">
      <c r="A19" s="8"/>
      <c r="B19" s="11" t="s">
        <v>86</v>
      </c>
      <c r="C19" s="12">
        <v>729495.5</v>
      </c>
      <c r="D19" s="12">
        <v>60</v>
      </c>
      <c r="E19" s="12">
        <f>ROUND(C19/D19,2)</f>
        <v>12158.26</v>
      </c>
    </row>
    <row r="20" spans="1:5" ht="47.25" x14ac:dyDescent="0.25">
      <c r="A20" s="8"/>
      <c r="B20" s="5" t="s">
        <v>156</v>
      </c>
      <c r="C20" s="12"/>
      <c r="D20" s="12"/>
      <c r="E20" s="12"/>
    </row>
    <row r="21" spans="1:5" x14ac:dyDescent="0.25">
      <c r="A21" s="8"/>
      <c r="B21" s="11" t="s">
        <v>85</v>
      </c>
      <c r="C21" s="12">
        <v>2416447</v>
      </c>
      <c r="D21" s="12">
        <v>927.3</v>
      </c>
      <c r="E21" s="12">
        <f t="shared" ref="E21:E22" si="0">ROUND(C21/D21,2)</f>
        <v>2605.9</v>
      </c>
    </row>
    <row r="22" spans="1:5" x14ac:dyDescent="0.25">
      <c r="A22" s="8"/>
      <c r="B22" s="11" t="s">
        <v>86</v>
      </c>
      <c r="C22" s="12">
        <v>10016479.76</v>
      </c>
      <c r="D22" s="12">
        <v>3119.7</v>
      </c>
      <c r="E22" s="12">
        <f t="shared" si="0"/>
        <v>3210.72</v>
      </c>
    </row>
    <row r="23" spans="1:5" ht="31.5" x14ac:dyDescent="0.25">
      <c r="A23" s="8"/>
      <c r="B23" s="5" t="s">
        <v>94</v>
      </c>
      <c r="C23" s="12"/>
      <c r="D23" s="12"/>
      <c r="E23" s="12"/>
    </row>
    <row r="24" spans="1:5" ht="63" x14ac:dyDescent="0.25">
      <c r="A24" s="8"/>
      <c r="B24" s="5" t="s">
        <v>95</v>
      </c>
      <c r="C24" s="12"/>
      <c r="D24" s="12"/>
      <c r="E24" s="12"/>
    </row>
    <row r="25" spans="1:5" x14ac:dyDescent="0.25">
      <c r="A25" s="8"/>
      <c r="B25" s="5" t="s">
        <v>58</v>
      </c>
      <c r="C25" s="12">
        <f>ROUND(578.2*D25*6.07,2)</f>
        <v>780902.47</v>
      </c>
      <c r="D25" s="12">
        <f>ROUND(250*0.89,1)</f>
        <v>222.5</v>
      </c>
      <c r="E25" s="12">
        <f t="shared" ref="E25" si="1">ROUND(C25/D25,2)</f>
        <v>3509.67</v>
      </c>
    </row>
    <row r="26" spans="1:5" x14ac:dyDescent="0.25">
      <c r="A26" s="8"/>
      <c r="B26" s="5" t="s">
        <v>60</v>
      </c>
      <c r="C26" s="12">
        <f>ROUND(582.24*D26*6.07,2)</f>
        <v>1572717.58</v>
      </c>
      <c r="D26" s="12">
        <f>ROUND(2*250*0.89,1)</f>
        <v>445</v>
      </c>
      <c r="E26" s="12">
        <f>ROUND(C26/D26*2,2)</f>
        <v>7068.39</v>
      </c>
    </row>
    <row r="27" spans="1:5" x14ac:dyDescent="0.25">
      <c r="A27" s="8"/>
      <c r="B27" s="5" t="s">
        <v>61</v>
      </c>
      <c r="C27" s="12">
        <f>ROUND(410.83*D27*6.07,2)</f>
        <v>1775541.53</v>
      </c>
      <c r="D27" s="12">
        <f>ROUND(2*400*0.89,1)</f>
        <v>712</v>
      </c>
      <c r="E27" s="12">
        <f t="shared" ref="E27:E29" si="2">ROUND(C27/D27*2,2)</f>
        <v>4987.4799999999996</v>
      </c>
    </row>
    <row r="28" spans="1:5" x14ac:dyDescent="0.25">
      <c r="A28" s="8"/>
      <c r="B28" s="5" t="s">
        <v>62</v>
      </c>
      <c r="C28" s="12">
        <f>ROUND(313.02*D28*6.07,2)</f>
        <v>2130695.21</v>
      </c>
      <c r="D28" s="12">
        <f>ROUND(2*630*0.89,1)</f>
        <v>1121.4000000000001</v>
      </c>
      <c r="E28" s="12">
        <f t="shared" si="2"/>
        <v>3800.06</v>
      </c>
    </row>
    <row r="29" spans="1:5" x14ac:dyDescent="0.25">
      <c r="A29" s="8"/>
      <c r="B29" s="5" t="s">
        <v>63</v>
      </c>
      <c r="C29" s="12">
        <f>ROUND(248.12*D29*6.07,2)</f>
        <v>2680837.35</v>
      </c>
      <c r="D29" s="12">
        <f>ROUND(2*1000*0.89,1)</f>
        <v>1780</v>
      </c>
      <c r="E29" s="12">
        <f t="shared" si="2"/>
        <v>3012.18</v>
      </c>
    </row>
    <row r="30" spans="1:5" ht="47.25" x14ac:dyDescent="0.25">
      <c r="A30" s="8"/>
      <c r="B30" s="5" t="s">
        <v>96</v>
      </c>
      <c r="C30" s="9"/>
      <c r="D30" s="9"/>
      <c r="E30" s="9"/>
    </row>
    <row r="31" spans="1:5" ht="47.25" x14ac:dyDescent="0.25">
      <c r="A31" s="8">
        <v>4</v>
      </c>
      <c r="B31" s="5" t="s">
        <v>97</v>
      </c>
      <c r="C31" s="9"/>
      <c r="D31" s="9"/>
      <c r="E31" s="9"/>
    </row>
    <row r="32" spans="1:5" x14ac:dyDescent="0.25">
      <c r="A32" s="8"/>
      <c r="B32" s="5" t="s">
        <v>32</v>
      </c>
      <c r="C32" s="9">
        <v>155798.15</v>
      </c>
      <c r="D32" s="9">
        <v>4058.63</v>
      </c>
      <c r="E32" s="9">
        <f>ROUND(C32/D32,2)</f>
        <v>38.39</v>
      </c>
    </row>
    <row r="33" spans="1:5" x14ac:dyDescent="0.25">
      <c r="A33" s="8"/>
      <c r="B33" s="5" t="s">
        <v>33</v>
      </c>
      <c r="C33" s="9"/>
      <c r="D33" s="9"/>
      <c r="E33" s="9"/>
    </row>
    <row r="34" spans="1:5" ht="78.75" x14ac:dyDescent="0.25">
      <c r="A34" s="8">
        <v>5</v>
      </c>
      <c r="B34" s="5" t="s">
        <v>98</v>
      </c>
      <c r="C34" s="9"/>
      <c r="D34" s="9"/>
      <c r="E34" s="9"/>
    </row>
    <row r="35" spans="1:5" x14ac:dyDescent="0.25">
      <c r="A35" s="8"/>
      <c r="B35" s="5" t="s">
        <v>32</v>
      </c>
      <c r="C35" s="9">
        <v>59040.76</v>
      </c>
      <c r="D35" s="9">
        <v>4058.63</v>
      </c>
      <c r="E35" s="9">
        <f>ROUND(C35/D35,2)</f>
        <v>14.55</v>
      </c>
    </row>
    <row r="36" spans="1:5" x14ac:dyDescent="0.25">
      <c r="A36" s="8"/>
      <c r="B36" s="5" t="s">
        <v>33</v>
      </c>
      <c r="C36" s="9"/>
      <c r="D36" s="9"/>
      <c r="E36" s="9"/>
    </row>
    <row r="37" spans="1:5" ht="157.5" x14ac:dyDescent="0.25">
      <c r="A37" s="8" t="s">
        <v>99</v>
      </c>
      <c r="B37" s="5" t="s">
        <v>100</v>
      </c>
      <c r="C37" s="9"/>
      <c r="D37" s="9"/>
      <c r="E37" s="9"/>
    </row>
    <row r="38" spans="1:5" x14ac:dyDescent="0.25">
      <c r="A38" s="8"/>
      <c r="B38" s="5" t="s">
        <v>32</v>
      </c>
      <c r="C38" s="9">
        <v>445723.02</v>
      </c>
      <c r="D38" s="9">
        <v>4058.63</v>
      </c>
      <c r="E38" s="9">
        <f>ROUND(C38/D38,2)</f>
        <v>109.82</v>
      </c>
    </row>
    <row r="39" spans="1:5" x14ac:dyDescent="0.25">
      <c r="A39" s="8"/>
      <c r="B39" s="5" t="s">
        <v>33</v>
      </c>
      <c r="C39" s="9"/>
      <c r="D39" s="9"/>
      <c r="E39" s="9"/>
    </row>
    <row r="40" spans="1:5" x14ac:dyDescent="0.25">
      <c r="B40" s="2"/>
    </row>
    <row r="41" spans="1:5" ht="48.75" customHeight="1" x14ac:dyDescent="0.25">
      <c r="A41" s="45" t="s">
        <v>157</v>
      </c>
      <c r="B41" s="63"/>
      <c r="C41" s="63"/>
      <c r="D41" s="63"/>
      <c r="E41" s="63"/>
    </row>
  </sheetData>
  <mergeCells count="3">
    <mergeCell ref="A9:E9"/>
    <mergeCell ref="A11:B11"/>
    <mergeCell ref="A41:E4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B28" sqref="B28"/>
    </sheetView>
  </sheetViews>
  <sheetFormatPr defaultRowHeight="15.75" x14ac:dyDescent="0.25"/>
  <cols>
    <col min="1" max="1" width="6.7109375" style="1" customWidth="1"/>
    <col min="2" max="2" width="49.28515625" style="1" customWidth="1"/>
    <col min="3" max="3" width="19" style="1" customWidth="1"/>
    <col min="4" max="4" width="20.140625" style="1" customWidth="1"/>
    <col min="5" max="256" width="9.140625" style="1"/>
    <col min="257" max="257" width="6.7109375" style="1" customWidth="1"/>
    <col min="258" max="258" width="49.28515625" style="1" customWidth="1"/>
    <col min="259" max="259" width="19" style="1" customWidth="1"/>
    <col min="260" max="260" width="20.140625" style="1" customWidth="1"/>
    <col min="261" max="512" width="9.140625" style="1"/>
    <col min="513" max="513" width="6.7109375" style="1" customWidth="1"/>
    <col min="514" max="514" width="49.28515625" style="1" customWidth="1"/>
    <col min="515" max="515" width="19" style="1" customWidth="1"/>
    <col min="516" max="516" width="20.140625" style="1" customWidth="1"/>
    <col min="517" max="768" width="9.140625" style="1"/>
    <col min="769" max="769" width="6.7109375" style="1" customWidth="1"/>
    <col min="770" max="770" width="49.28515625" style="1" customWidth="1"/>
    <col min="771" max="771" width="19" style="1" customWidth="1"/>
    <col min="772" max="772" width="20.140625" style="1" customWidth="1"/>
    <col min="773" max="1024" width="9.140625" style="1"/>
    <col min="1025" max="1025" width="6.7109375" style="1" customWidth="1"/>
    <col min="1026" max="1026" width="49.28515625" style="1" customWidth="1"/>
    <col min="1027" max="1027" width="19" style="1" customWidth="1"/>
    <col min="1028" max="1028" width="20.140625" style="1" customWidth="1"/>
    <col min="1029" max="1280" width="9.140625" style="1"/>
    <col min="1281" max="1281" width="6.7109375" style="1" customWidth="1"/>
    <col min="1282" max="1282" width="49.28515625" style="1" customWidth="1"/>
    <col min="1283" max="1283" width="19" style="1" customWidth="1"/>
    <col min="1284" max="1284" width="20.140625" style="1" customWidth="1"/>
    <col min="1285" max="1536" width="9.140625" style="1"/>
    <col min="1537" max="1537" width="6.7109375" style="1" customWidth="1"/>
    <col min="1538" max="1538" width="49.28515625" style="1" customWidth="1"/>
    <col min="1539" max="1539" width="19" style="1" customWidth="1"/>
    <col min="1540" max="1540" width="20.140625" style="1" customWidth="1"/>
    <col min="1541" max="1792" width="9.140625" style="1"/>
    <col min="1793" max="1793" width="6.7109375" style="1" customWidth="1"/>
    <col min="1794" max="1794" width="49.28515625" style="1" customWidth="1"/>
    <col min="1795" max="1795" width="19" style="1" customWidth="1"/>
    <col min="1796" max="1796" width="20.140625" style="1" customWidth="1"/>
    <col min="1797" max="2048" width="9.140625" style="1"/>
    <col min="2049" max="2049" width="6.7109375" style="1" customWidth="1"/>
    <col min="2050" max="2050" width="49.28515625" style="1" customWidth="1"/>
    <col min="2051" max="2051" width="19" style="1" customWidth="1"/>
    <col min="2052" max="2052" width="20.140625" style="1" customWidth="1"/>
    <col min="2053" max="2304" width="9.140625" style="1"/>
    <col min="2305" max="2305" width="6.7109375" style="1" customWidth="1"/>
    <col min="2306" max="2306" width="49.28515625" style="1" customWidth="1"/>
    <col min="2307" max="2307" width="19" style="1" customWidth="1"/>
    <col min="2308" max="2308" width="20.140625" style="1" customWidth="1"/>
    <col min="2309" max="2560" width="9.140625" style="1"/>
    <col min="2561" max="2561" width="6.7109375" style="1" customWidth="1"/>
    <col min="2562" max="2562" width="49.28515625" style="1" customWidth="1"/>
    <col min="2563" max="2563" width="19" style="1" customWidth="1"/>
    <col min="2564" max="2564" width="20.140625" style="1" customWidth="1"/>
    <col min="2565" max="2816" width="9.140625" style="1"/>
    <col min="2817" max="2817" width="6.7109375" style="1" customWidth="1"/>
    <col min="2818" max="2818" width="49.28515625" style="1" customWidth="1"/>
    <col min="2819" max="2819" width="19" style="1" customWidth="1"/>
    <col min="2820" max="2820" width="20.140625" style="1" customWidth="1"/>
    <col min="2821" max="3072" width="9.140625" style="1"/>
    <col min="3073" max="3073" width="6.7109375" style="1" customWidth="1"/>
    <col min="3074" max="3074" width="49.28515625" style="1" customWidth="1"/>
    <col min="3075" max="3075" width="19" style="1" customWidth="1"/>
    <col min="3076" max="3076" width="20.140625" style="1" customWidth="1"/>
    <col min="3077" max="3328" width="9.140625" style="1"/>
    <col min="3329" max="3329" width="6.7109375" style="1" customWidth="1"/>
    <col min="3330" max="3330" width="49.28515625" style="1" customWidth="1"/>
    <col min="3331" max="3331" width="19" style="1" customWidth="1"/>
    <col min="3332" max="3332" width="20.140625" style="1" customWidth="1"/>
    <col min="3333" max="3584" width="9.140625" style="1"/>
    <col min="3585" max="3585" width="6.7109375" style="1" customWidth="1"/>
    <col min="3586" max="3586" width="49.28515625" style="1" customWidth="1"/>
    <col min="3587" max="3587" width="19" style="1" customWidth="1"/>
    <col min="3588" max="3588" width="20.140625" style="1" customWidth="1"/>
    <col min="3589" max="3840" width="9.140625" style="1"/>
    <col min="3841" max="3841" width="6.7109375" style="1" customWidth="1"/>
    <col min="3842" max="3842" width="49.28515625" style="1" customWidth="1"/>
    <col min="3843" max="3843" width="19" style="1" customWidth="1"/>
    <col min="3844" max="3844" width="20.140625" style="1" customWidth="1"/>
    <col min="3845" max="4096" width="9.140625" style="1"/>
    <col min="4097" max="4097" width="6.7109375" style="1" customWidth="1"/>
    <col min="4098" max="4098" width="49.28515625" style="1" customWidth="1"/>
    <col min="4099" max="4099" width="19" style="1" customWidth="1"/>
    <col min="4100" max="4100" width="20.140625" style="1" customWidth="1"/>
    <col min="4101" max="4352" width="9.140625" style="1"/>
    <col min="4353" max="4353" width="6.7109375" style="1" customWidth="1"/>
    <col min="4354" max="4354" width="49.28515625" style="1" customWidth="1"/>
    <col min="4355" max="4355" width="19" style="1" customWidth="1"/>
    <col min="4356" max="4356" width="20.140625" style="1" customWidth="1"/>
    <col min="4357" max="4608" width="9.140625" style="1"/>
    <col min="4609" max="4609" width="6.7109375" style="1" customWidth="1"/>
    <col min="4610" max="4610" width="49.28515625" style="1" customWidth="1"/>
    <col min="4611" max="4611" width="19" style="1" customWidth="1"/>
    <col min="4612" max="4612" width="20.140625" style="1" customWidth="1"/>
    <col min="4613" max="4864" width="9.140625" style="1"/>
    <col min="4865" max="4865" width="6.7109375" style="1" customWidth="1"/>
    <col min="4866" max="4866" width="49.28515625" style="1" customWidth="1"/>
    <col min="4867" max="4867" width="19" style="1" customWidth="1"/>
    <col min="4868" max="4868" width="20.140625" style="1" customWidth="1"/>
    <col min="4869" max="5120" width="9.140625" style="1"/>
    <col min="5121" max="5121" width="6.7109375" style="1" customWidth="1"/>
    <col min="5122" max="5122" width="49.28515625" style="1" customWidth="1"/>
    <col min="5123" max="5123" width="19" style="1" customWidth="1"/>
    <col min="5124" max="5124" width="20.140625" style="1" customWidth="1"/>
    <col min="5125" max="5376" width="9.140625" style="1"/>
    <col min="5377" max="5377" width="6.7109375" style="1" customWidth="1"/>
    <col min="5378" max="5378" width="49.28515625" style="1" customWidth="1"/>
    <col min="5379" max="5379" width="19" style="1" customWidth="1"/>
    <col min="5380" max="5380" width="20.140625" style="1" customWidth="1"/>
    <col min="5381" max="5632" width="9.140625" style="1"/>
    <col min="5633" max="5633" width="6.7109375" style="1" customWidth="1"/>
    <col min="5634" max="5634" width="49.28515625" style="1" customWidth="1"/>
    <col min="5635" max="5635" width="19" style="1" customWidth="1"/>
    <col min="5636" max="5636" width="20.140625" style="1" customWidth="1"/>
    <col min="5637" max="5888" width="9.140625" style="1"/>
    <col min="5889" max="5889" width="6.7109375" style="1" customWidth="1"/>
    <col min="5890" max="5890" width="49.28515625" style="1" customWidth="1"/>
    <col min="5891" max="5891" width="19" style="1" customWidth="1"/>
    <col min="5892" max="5892" width="20.140625" style="1" customWidth="1"/>
    <col min="5893" max="6144" width="9.140625" style="1"/>
    <col min="6145" max="6145" width="6.7109375" style="1" customWidth="1"/>
    <col min="6146" max="6146" width="49.28515625" style="1" customWidth="1"/>
    <col min="6147" max="6147" width="19" style="1" customWidth="1"/>
    <col min="6148" max="6148" width="20.140625" style="1" customWidth="1"/>
    <col min="6149" max="6400" width="9.140625" style="1"/>
    <col min="6401" max="6401" width="6.7109375" style="1" customWidth="1"/>
    <col min="6402" max="6402" width="49.28515625" style="1" customWidth="1"/>
    <col min="6403" max="6403" width="19" style="1" customWidth="1"/>
    <col min="6404" max="6404" width="20.140625" style="1" customWidth="1"/>
    <col min="6405" max="6656" width="9.140625" style="1"/>
    <col min="6657" max="6657" width="6.7109375" style="1" customWidth="1"/>
    <col min="6658" max="6658" width="49.28515625" style="1" customWidth="1"/>
    <col min="6659" max="6659" width="19" style="1" customWidth="1"/>
    <col min="6660" max="6660" width="20.140625" style="1" customWidth="1"/>
    <col min="6661" max="6912" width="9.140625" style="1"/>
    <col min="6913" max="6913" width="6.7109375" style="1" customWidth="1"/>
    <col min="6914" max="6914" width="49.28515625" style="1" customWidth="1"/>
    <col min="6915" max="6915" width="19" style="1" customWidth="1"/>
    <col min="6916" max="6916" width="20.140625" style="1" customWidth="1"/>
    <col min="6917" max="7168" width="9.140625" style="1"/>
    <col min="7169" max="7169" width="6.7109375" style="1" customWidth="1"/>
    <col min="7170" max="7170" width="49.28515625" style="1" customWidth="1"/>
    <col min="7171" max="7171" width="19" style="1" customWidth="1"/>
    <col min="7172" max="7172" width="20.140625" style="1" customWidth="1"/>
    <col min="7173" max="7424" width="9.140625" style="1"/>
    <col min="7425" max="7425" width="6.7109375" style="1" customWidth="1"/>
    <col min="7426" max="7426" width="49.28515625" style="1" customWidth="1"/>
    <col min="7427" max="7427" width="19" style="1" customWidth="1"/>
    <col min="7428" max="7428" width="20.140625" style="1" customWidth="1"/>
    <col min="7429" max="7680" width="9.140625" style="1"/>
    <col min="7681" max="7681" width="6.7109375" style="1" customWidth="1"/>
    <col min="7682" max="7682" width="49.28515625" style="1" customWidth="1"/>
    <col min="7683" max="7683" width="19" style="1" customWidth="1"/>
    <col min="7684" max="7684" width="20.140625" style="1" customWidth="1"/>
    <col min="7685" max="7936" width="9.140625" style="1"/>
    <col min="7937" max="7937" width="6.7109375" style="1" customWidth="1"/>
    <col min="7938" max="7938" width="49.28515625" style="1" customWidth="1"/>
    <col min="7939" max="7939" width="19" style="1" customWidth="1"/>
    <col min="7940" max="7940" width="20.140625" style="1" customWidth="1"/>
    <col min="7941" max="8192" width="9.140625" style="1"/>
    <col min="8193" max="8193" width="6.7109375" style="1" customWidth="1"/>
    <col min="8194" max="8194" width="49.28515625" style="1" customWidth="1"/>
    <col min="8195" max="8195" width="19" style="1" customWidth="1"/>
    <col min="8196" max="8196" width="20.140625" style="1" customWidth="1"/>
    <col min="8197" max="8448" width="9.140625" style="1"/>
    <col min="8449" max="8449" width="6.7109375" style="1" customWidth="1"/>
    <col min="8450" max="8450" width="49.28515625" style="1" customWidth="1"/>
    <col min="8451" max="8451" width="19" style="1" customWidth="1"/>
    <col min="8452" max="8452" width="20.140625" style="1" customWidth="1"/>
    <col min="8453" max="8704" width="9.140625" style="1"/>
    <col min="8705" max="8705" width="6.7109375" style="1" customWidth="1"/>
    <col min="8706" max="8706" width="49.28515625" style="1" customWidth="1"/>
    <col min="8707" max="8707" width="19" style="1" customWidth="1"/>
    <col min="8708" max="8708" width="20.140625" style="1" customWidth="1"/>
    <col min="8709" max="8960" width="9.140625" style="1"/>
    <col min="8961" max="8961" width="6.7109375" style="1" customWidth="1"/>
    <col min="8962" max="8962" width="49.28515625" style="1" customWidth="1"/>
    <col min="8963" max="8963" width="19" style="1" customWidth="1"/>
    <col min="8964" max="8964" width="20.140625" style="1" customWidth="1"/>
    <col min="8965" max="9216" width="9.140625" style="1"/>
    <col min="9217" max="9217" width="6.7109375" style="1" customWidth="1"/>
    <col min="9218" max="9218" width="49.28515625" style="1" customWidth="1"/>
    <col min="9219" max="9219" width="19" style="1" customWidth="1"/>
    <col min="9220" max="9220" width="20.140625" style="1" customWidth="1"/>
    <col min="9221" max="9472" width="9.140625" style="1"/>
    <col min="9473" max="9473" width="6.7109375" style="1" customWidth="1"/>
    <col min="9474" max="9474" width="49.28515625" style="1" customWidth="1"/>
    <col min="9475" max="9475" width="19" style="1" customWidth="1"/>
    <col min="9476" max="9476" width="20.140625" style="1" customWidth="1"/>
    <col min="9477" max="9728" width="9.140625" style="1"/>
    <col min="9729" max="9729" width="6.7109375" style="1" customWidth="1"/>
    <col min="9730" max="9730" width="49.28515625" style="1" customWidth="1"/>
    <col min="9731" max="9731" width="19" style="1" customWidth="1"/>
    <col min="9732" max="9732" width="20.140625" style="1" customWidth="1"/>
    <col min="9733" max="9984" width="9.140625" style="1"/>
    <col min="9985" max="9985" width="6.7109375" style="1" customWidth="1"/>
    <col min="9986" max="9986" width="49.28515625" style="1" customWidth="1"/>
    <col min="9987" max="9987" width="19" style="1" customWidth="1"/>
    <col min="9988" max="9988" width="20.140625" style="1" customWidth="1"/>
    <col min="9989" max="10240" width="9.140625" style="1"/>
    <col min="10241" max="10241" width="6.7109375" style="1" customWidth="1"/>
    <col min="10242" max="10242" width="49.28515625" style="1" customWidth="1"/>
    <col min="10243" max="10243" width="19" style="1" customWidth="1"/>
    <col min="10244" max="10244" width="20.140625" style="1" customWidth="1"/>
    <col min="10245" max="10496" width="9.140625" style="1"/>
    <col min="10497" max="10497" width="6.7109375" style="1" customWidth="1"/>
    <col min="10498" max="10498" width="49.28515625" style="1" customWidth="1"/>
    <col min="10499" max="10499" width="19" style="1" customWidth="1"/>
    <col min="10500" max="10500" width="20.140625" style="1" customWidth="1"/>
    <col min="10501" max="10752" width="9.140625" style="1"/>
    <col min="10753" max="10753" width="6.7109375" style="1" customWidth="1"/>
    <col min="10754" max="10754" width="49.28515625" style="1" customWidth="1"/>
    <col min="10755" max="10755" width="19" style="1" customWidth="1"/>
    <col min="10756" max="10756" width="20.140625" style="1" customWidth="1"/>
    <col min="10757" max="11008" width="9.140625" style="1"/>
    <col min="11009" max="11009" width="6.7109375" style="1" customWidth="1"/>
    <col min="11010" max="11010" width="49.28515625" style="1" customWidth="1"/>
    <col min="11011" max="11011" width="19" style="1" customWidth="1"/>
    <col min="11012" max="11012" width="20.140625" style="1" customWidth="1"/>
    <col min="11013" max="11264" width="9.140625" style="1"/>
    <col min="11265" max="11265" width="6.7109375" style="1" customWidth="1"/>
    <col min="11266" max="11266" width="49.28515625" style="1" customWidth="1"/>
    <col min="11267" max="11267" width="19" style="1" customWidth="1"/>
    <col min="11268" max="11268" width="20.140625" style="1" customWidth="1"/>
    <col min="11269" max="11520" width="9.140625" style="1"/>
    <col min="11521" max="11521" width="6.7109375" style="1" customWidth="1"/>
    <col min="11522" max="11522" width="49.28515625" style="1" customWidth="1"/>
    <col min="11523" max="11523" width="19" style="1" customWidth="1"/>
    <col min="11524" max="11524" width="20.140625" style="1" customWidth="1"/>
    <col min="11525" max="11776" width="9.140625" style="1"/>
    <col min="11777" max="11777" width="6.7109375" style="1" customWidth="1"/>
    <col min="11778" max="11778" width="49.28515625" style="1" customWidth="1"/>
    <col min="11779" max="11779" width="19" style="1" customWidth="1"/>
    <col min="11780" max="11780" width="20.140625" style="1" customWidth="1"/>
    <col min="11781" max="12032" width="9.140625" style="1"/>
    <col min="12033" max="12033" width="6.7109375" style="1" customWidth="1"/>
    <col min="12034" max="12034" width="49.28515625" style="1" customWidth="1"/>
    <col min="12035" max="12035" width="19" style="1" customWidth="1"/>
    <col min="12036" max="12036" width="20.140625" style="1" customWidth="1"/>
    <col min="12037" max="12288" width="9.140625" style="1"/>
    <col min="12289" max="12289" width="6.7109375" style="1" customWidth="1"/>
    <col min="12290" max="12290" width="49.28515625" style="1" customWidth="1"/>
    <col min="12291" max="12291" width="19" style="1" customWidth="1"/>
    <col min="12292" max="12292" width="20.140625" style="1" customWidth="1"/>
    <col min="12293" max="12544" width="9.140625" style="1"/>
    <col min="12545" max="12545" width="6.7109375" style="1" customWidth="1"/>
    <col min="12546" max="12546" width="49.28515625" style="1" customWidth="1"/>
    <col min="12547" max="12547" width="19" style="1" customWidth="1"/>
    <col min="12548" max="12548" width="20.140625" style="1" customWidth="1"/>
    <col min="12549" max="12800" width="9.140625" style="1"/>
    <col min="12801" max="12801" width="6.7109375" style="1" customWidth="1"/>
    <col min="12802" max="12802" width="49.28515625" style="1" customWidth="1"/>
    <col min="12803" max="12803" width="19" style="1" customWidth="1"/>
    <col min="12804" max="12804" width="20.140625" style="1" customWidth="1"/>
    <col min="12805" max="13056" width="9.140625" style="1"/>
    <col min="13057" max="13057" width="6.7109375" style="1" customWidth="1"/>
    <col min="13058" max="13058" width="49.28515625" style="1" customWidth="1"/>
    <col min="13059" max="13059" width="19" style="1" customWidth="1"/>
    <col min="13060" max="13060" width="20.140625" style="1" customWidth="1"/>
    <col min="13061" max="13312" width="9.140625" style="1"/>
    <col min="13313" max="13313" width="6.7109375" style="1" customWidth="1"/>
    <col min="13314" max="13314" width="49.28515625" style="1" customWidth="1"/>
    <col min="13315" max="13315" width="19" style="1" customWidth="1"/>
    <col min="13316" max="13316" width="20.140625" style="1" customWidth="1"/>
    <col min="13317" max="13568" width="9.140625" style="1"/>
    <col min="13569" max="13569" width="6.7109375" style="1" customWidth="1"/>
    <col min="13570" max="13570" width="49.28515625" style="1" customWidth="1"/>
    <col min="13571" max="13571" width="19" style="1" customWidth="1"/>
    <col min="13572" max="13572" width="20.140625" style="1" customWidth="1"/>
    <col min="13573" max="13824" width="9.140625" style="1"/>
    <col min="13825" max="13825" width="6.7109375" style="1" customWidth="1"/>
    <col min="13826" max="13826" width="49.28515625" style="1" customWidth="1"/>
    <col min="13827" max="13827" width="19" style="1" customWidth="1"/>
    <col min="13828" max="13828" width="20.140625" style="1" customWidth="1"/>
    <col min="13829" max="14080" width="9.140625" style="1"/>
    <col min="14081" max="14081" width="6.7109375" style="1" customWidth="1"/>
    <col min="14082" max="14082" width="49.28515625" style="1" customWidth="1"/>
    <col min="14083" max="14083" width="19" style="1" customWidth="1"/>
    <col min="14084" max="14084" width="20.140625" style="1" customWidth="1"/>
    <col min="14085" max="14336" width="9.140625" style="1"/>
    <col min="14337" max="14337" width="6.7109375" style="1" customWidth="1"/>
    <col min="14338" max="14338" width="49.28515625" style="1" customWidth="1"/>
    <col min="14339" max="14339" width="19" style="1" customWidth="1"/>
    <col min="14340" max="14340" width="20.140625" style="1" customWidth="1"/>
    <col min="14341" max="14592" width="9.140625" style="1"/>
    <col min="14593" max="14593" width="6.7109375" style="1" customWidth="1"/>
    <col min="14594" max="14594" width="49.28515625" style="1" customWidth="1"/>
    <col min="14595" max="14595" width="19" style="1" customWidth="1"/>
    <col min="14596" max="14596" width="20.140625" style="1" customWidth="1"/>
    <col min="14597" max="14848" width="9.140625" style="1"/>
    <col min="14849" max="14849" width="6.7109375" style="1" customWidth="1"/>
    <col min="14850" max="14850" width="49.28515625" style="1" customWidth="1"/>
    <col min="14851" max="14851" width="19" style="1" customWidth="1"/>
    <col min="14852" max="14852" width="20.140625" style="1" customWidth="1"/>
    <col min="14853" max="15104" width="9.140625" style="1"/>
    <col min="15105" max="15105" width="6.7109375" style="1" customWidth="1"/>
    <col min="15106" max="15106" width="49.28515625" style="1" customWidth="1"/>
    <col min="15107" max="15107" width="19" style="1" customWidth="1"/>
    <col min="15108" max="15108" width="20.140625" style="1" customWidth="1"/>
    <col min="15109" max="15360" width="9.140625" style="1"/>
    <col min="15361" max="15361" width="6.7109375" style="1" customWidth="1"/>
    <col min="15362" max="15362" width="49.28515625" style="1" customWidth="1"/>
    <col min="15363" max="15363" width="19" style="1" customWidth="1"/>
    <col min="15364" max="15364" width="20.140625" style="1" customWidth="1"/>
    <col min="15365" max="15616" width="9.140625" style="1"/>
    <col min="15617" max="15617" width="6.7109375" style="1" customWidth="1"/>
    <col min="15618" max="15618" width="49.28515625" style="1" customWidth="1"/>
    <col min="15619" max="15619" width="19" style="1" customWidth="1"/>
    <col min="15620" max="15620" width="20.140625" style="1" customWidth="1"/>
    <col min="15621" max="15872" width="9.140625" style="1"/>
    <col min="15873" max="15873" width="6.7109375" style="1" customWidth="1"/>
    <col min="15874" max="15874" width="49.28515625" style="1" customWidth="1"/>
    <col min="15875" max="15875" width="19" style="1" customWidth="1"/>
    <col min="15876" max="15876" width="20.140625" style="1" customWidth="1"/>
    <col min="15877" max="16128" width="9.140625" style="1"/>
    <col min="16129" max="16129" width="6.7109375" style="1" customWidth="1"/>
    <col min="16130" max="16130" width="49.28515625" style="1" customWidth="1"/>
    <col min="16131" max="16131" width="19" style="1" customWidth="1"/>
    <col min="16132" max="16132" width="20.140625" style="1" customWidth="1"/>
    <col min="16133" max="16384" width="9.140625" style="1"/>
  </cols>
  <sheetData>
    <row r="1" spans="1:4" x14ac:dyDescent="0.25">
      <c r="D1" s="1" t="s">
        <v>72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5">
      <c r="D6" s="1" t="s">
        <v>4</v>
      </c>
    </row>
    <row r="9" spans="1:4" x14ac:dyDescent="0.25">
      <c r="A9" s="46" t="s">
        <v>73</v>
      </c>
      <c r="B9" s="46"/>
      <c r="C9" s="46"/>
      <c r="D9" s="46"/>
    </row>
    <row r="10" spans="1:4" x14ac:dyDescent="0.25">
      <c r="A10" s="46" t="s">
        <v>74</v>
      </c>
      <c r="B10" s="46"/>
      <c r="C10" s="46"/>
      <c r="D10" s="46"/>
    </row>
    <row r="11" spans="1:4" x14ac:dyDescent="0.25">
      <c r="A11" s="20"/>
      <c r="B11" s="20"/>
      <c r="C11" s="20"/>
      <c r="D11" s="20"/>
    </row>
    <row r="12" spans="1:4" x14ac:dyDescent="0.25">
      <c r="D12" s="1" t="s">
        <v>106</v>
      </c>
    </row>
    <row r="13" spans="1:4" ht="47.25" x14ac:dyDescent="0.25">
      <c r="A13" s="16"/>
      <c r="B13" s="17" t="s">
        <v>103</v>
      </c>
      <c r="C13" s="21" t="s">
        <v>104</v>
      </c>
      <c r="D13" s="21" t="s">
        <v>105</v>
      </c>
    </row>
    <row r="14" spans="1:4" s="13" customFormat="1" ht="31.5" x14ac:dyDescent="0.25">
      <c r="A14" s="8"/>
      <c r="B14" s="14" t="s">
        <v>107</v>
      </c>
      <c r="C14" s="18">
        <v>4547.6939851200004</v>
      </c>
      <c r="D14" s="44">
        <v>8347.44</v>
      </c>
    </row>
    <row r="15" spans="1:4" s="13" customFormat="1" x14ac:dyDescent="0.25">
      <c r="A15" s="8"/>
      <c r="B15" s="14" t="s">
        <v>113</v>
      </c>
      <c r="C15" s="18"/>
      <c r="D15" s="18"/>
    </row>
    <row r="16" spans="1:4" s="13" customFormat="1" x14ac:dyDescent="0.25">
      <c r="A16" s="8"/>
      <c r="B16" s="14" t="s">
        <v>114</v>
      </c>
      <c r="C16" s="18">
        <v>423.39</v>
      </c>
      <c r="D16" s="18">
        <v>777.15</v>
      </c>
    </row>
    <row r="17" spans="1:4" s="13" customFormat="1" x14ac:dyDescent="0.25">
      <c r="A17" s="8"/>
      <c r="B17" s="14" t="s">
        <v>115</v>
      </c>
      <c r="C17" s="18"/>
      <c r="D17" s="18">
        <v>0</v>
      </c>
    </row>
    <row r="18" spans="1:4" s="13" customFormat="1" x14ac:dyDescent="0.25">
      <c r="A18" s="8"/>
      <c r="B18" s="14" t="s">
        <v>116</v>
      </c>
      <c r="C18" s="18">
        <v>2742.71</v>
      </c>
      <c r="D18" s="18">
        <v>5034.33</v>
      </c>
    </row>
    <row r="19" spans="1:4" s="13" customFormat="1" x14ac:dyDescent="0.25">
      <c r="A19" s="8"/>
      <c r="B19" s="14" t="s">
        <v>117</v>
      </c>
      <c r="C19" s="18">
        <v>833.78</v>
      </c>
      <c r="D19" s="18">
        <f>D18*0.304</f>
        <v>1530.43632</v>
      </c>
    </row>
    <row r="20" spans="1:4" s="13" customFormat="1" x14ac:dyDescent="0.25">
      <c r="A20" s="8"/>
      <c r="B20" s="14" t="s">
        <v>118</v>
      </c>
      <c r="C20" s="18">
        <v>547.80562166195205</v>
      </c>
      <c r="D20" s="18">
        <f>SUM(D26:D30)</f>
        <v>1005.52</v>
      </c>
    </row>
    <row r="21" spans="1:4" s="13" customFormat="1" x14ac:dyDescent="0.25">
      <c r="A21" s="8"/>
      <c r="B21" s="14" t="s">
        <v>119</v>
      </c>
      <c r="C21" s="18"/>
      <c r="D21" s="18"/>
    </row>
    <row r="22" spans="1:4" s="13" customFormat="1" x14ac:dyDescent="0.25">
      <c r="A22" s="8"/>
      <c r="B22" s="15" t="s">
        <v>120</v>
      </c>
      <c r="C22" s="18"/>
      <c r="D22" s="18"/>
    </row>
    <row r="23" spans="1:4" s="13" customFormat="1" ht="47.25" x14ac:dyDescent="0.25">
      <c r="A23" s="8"/>
      <c r="B23" s="15" t="s">
        <v>121</v>
      </c>
      <c r="C23" s="18"/>
      <c r="D23" s="18"/>
    </row>
    <row r="24" spans="1:4" s="13" customFormat="1" ht="31.5" x14ac:dyDescent="0.25">
      <c r="A24" s="8"/>
      <c r="B24" s="15" t="s">
        <v>122</v>
      </c>
      <c r="C24" s="18"/>
      <c r="D24" s="18"/>
    </row>
    <row r="25" spans="1:4" s="13" customFormat="1" x14ac:dyDescent="0.25">
      <c r="A25" s="8"/>
      <c r="B25" s="15" t="s">
        <v>113</v>
      </c>
      <c r="C25" s="18"/>
      <c r="D25" s="18"/>
    </row>
    <row r="26" spans="1:4" s="13" customFormat="1" x14ac:dyDescent="0.25">
      <c r="A26" s="8"/>
      <c r="B26" s="14" t="s">
        <v>108</v>
      </c>
      <c r="C26" s="18">
        <v>82.768030529184017</v>
      </c>
      <c r="D26" s="18">
        <v>151.91999999999999</v>
      </c>
    </row>
    <row r="27" spans="1:4" s="13" customFormat="1" x14ac:dyDescent="0.25">
      <c r="A27" s="8"/>
      <c r="B27" s="14" t="s">
        <v>109</v>
      </c>
      <c r="C27" s="18">
        <v>142.79759113276799</v>
      </c>
      <c r="D27" s="18">
        <v>262.11</v>
      </c>
    </row>
    <row r="28" spans="1:4" s="13" customFormat="1" ht="31.5" x14ac:dyDescent="0.25">
      <c r="A28" s="8"/>
      <c r="B28" s="14" t="s">
        <v>110</v>
      </c>
      <c r="C28" s="18"/>
      <c r="D28" s="18">
        <v>0</v>
      </c>
    </row>
    <row r="29" spans="1:4" s="13" customFormat="1" x14ac:dyDescent="0.25">
      <c r="A29" s="8"/>
      <c r="B29" s="14" t="s">
        <v>111</v>
      </c>
      <c r="C29" s="18"/>
      <c r="D29" s="18">
        <v>0</v>
      </c>
    </row>
    <row r="30" spans="1:4" s="13" customFormat="1" ht="31.5" x14ac:dyDescent="0.25">
      <c r="A30" s="8"/>
      <c r="B30" s="14" t="s">
        <v>112</v>
      </c>
      <c r="C30" s="44">
        <v>322.24</v>
      </c>
      <c r="D30" s="18">
        <v>591.49</v>
      </c>
    </row>
    <row r="31" spans="1:4" s="13" customFormat="1" x14ac:dyDescent="0.25">
      <c r="A31" s="8"/>
      <c r="B31" s="14" t="s">
        <v>123</v>
      </c>
      <c r="C31" s="18"/>
      <c r="D31" s="18"/>
    </row>
    <row r="32" spans="1:4" s="13" customFormat="1" x14ac:dyDescent="0.25">
      <c r="A32" s="8"/>
      <c r="B32" s="14" t="s">
        <v>113</v>
      </c>
      <c r="C32" s="18"/>
      <c r="D32" s="18"/>
    </row>
    <row r="33" spans="1:4" s="13" customFormat="1" x14ac:dyDescent="0.25">
      <c r="A33" s="8"/>
      <c r="B33" s="15" t="s">
        <v>124</v>
      </c>
      <c r="C33" s="18"/>
      <c r="D33" s="18"/>
    </row>
    <row r="34" spans="1:4" s="13" customFormat="1" x14ac:dyDescent="0.25">
      <c r="A34" s="8"/>
      <c r="B34" s="15" t="s">
        <v>125</v>
      </c>
      <c r="C34" s="18">
        <v>2049.1915143592792</v>
      </c>
      <c r="D34" s="18">
        <v>1301.7081834126564</v>
      </c>
    </row>
    <row r="35" spans="1:4" s="13" customFormat="1" x14ac:dyDescent="0.25">
      <c r="A35" s="8"/>
      <c r="B35" s="15" t="s">
        <v>126</v>
      </c>
      <c r="C35" s="18">
        <v>0</v>
      </c>
      <c r="D35" s="18"/>
    </row>
    <row r="36" spans="1:4" s="13" customFormat="1" ht="31.5" x14ac:dyDescent="0.25">
      <c r="A36" s="8"/>
      <c r="B36" s="15" t="s">
        <v>127</v>
      </c>
      <c r="C36" s="18">
        <v>0</v>
      </c>
      <c r="D36" s="18"/>
    </row>
    <row r="37" spans="1:4" s="13" customFormat="1" ht="78.75" x14ac:dyDescent="0.25">
      <c r="A37" s="8">
        <v>2</v>
      </c>
      <c r="B37" s="14" t="s">
        <v>128</v>
      </c>
      <c r="C37" s="18">
        <f>ROUND((711.6*5522.19+786.7*5232.89+197.6*4142.12+2000.9*4834.62)/1000,2)</f>
        <v>18538.38</v>
      </c>
      <c r="D37" s="18">
        <f>(SUM('приложение 4 до 150 '!C18:C31)+SUM('приложение 4 свыше 150'!C18:C29))/1000</f>
        <v>39814.674960000004</v>
      </c>
    </row>
    <row r="38" spans="1:4" s="13" customFormat="1" x14ac:dyDescent="0.25">
      <c r="A38" s="8">
        <v>3</v>
      </c>
      <c r="B38" s="14" t="s">
        <v>129</v>
      </c>
      <c r="C38" s="18">
        <v>95030.063201669371</v>
      </c>
      <c r="D38" s="19">
        <f>131877.404171097</f>
        <v>131877.40417109701</v>
      </c>
    </row>
    <row r="39" spans="1:4" s="13" customFormat="1" x14ac:dyDescent="0.25">
      <c r="A39" s="8"/>
      <c r="B39" s="14" t="s">
        <v>130</v>
      </c>
      <c r="C39" s="18">
        <f>C14+C34+C37+C38</f>
        <v>120165.32870114865</v>
      </c>
      <c r="D39" s="18">
        <f>D14+D34+D37+D38</f>
        <v>181341.22731450968</v>
      </c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defaultRowHeight="15.75" x14ac:dyDescent="0.25"/>
  <cols>
    <col min="1" max="1" width="5" style="1" customWidth="1"/>
    <col min="2" max="2" width="33" style="1" customWidth="1"/>
    <col min="3" max="4" width="27.140625" style="1" customWidth="1"/>
    <col min="5" max="16384" width="9.140625" style="1"/>
  </cols>
  <sheetData>
    <row r="1" spans="1:4" x14ac:dyDescent="0.25">
      <c r="D1" s="1" t="s">
        <v>67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5">
      <c r="D6" s="1" t="s">
        <v>4</v>
      </c>
    </row>
    <row r="8" spans="1:4" ht="33.75" customHeight="1" x14ac:dyDescent="0.25">
      <c r="A8" s="64" t="s">
        <v>68</v>
      </c>
      <c r="B8" s="65"/>
      <c r="C8" s="65"/>
      <c r="D8" s="65"/>
    </row>
    <row r="10" spans="1:4" ht="78.75" x14ac:dyDescent="0.25">
      <c r="A10" s="51" t="s">
        <v>21</v>
      </c>
      <c r="B10" s="62"/>
      <c r="C10" s="3" t="s">
        <v>79</v>
      </c>
      <c r="D10" s="3" t="s">
        <v>69</v>
      </c>
    </row>
    <row r="11" spans="1:4" ht="47.25" x14ac:dyDescent="0.25">
      <c r="A11" s="8" t="s">
        <v>70</v>
      </c>
      <c r="B11" s="5" t="s">
        <v>71</v>
      </c>
      <c r="C11" s="7">
        <v>21049.7</v>
      </c>
      <c r="D11" s="10">
        <v>7397</v>
      </c>
    </row>
    <row r="12" spans="1:4" ht="78.75" x14ac:dyDescent="0.25">
      <c r="A12" s="8" t="s">
        <v>75</v>
      </c>
      <c r="B12" s="5" t="s">
        <v>76</v>
      </c>
      <c r="C12" s="7">
        <v>36458.1</v>
      </c>
      <c r="D12" s="10">
        <v>3323.3</v>
      </c>
    </row>
    <row r="13" spans="1:4" ht="47.25" x14ac:dyDescent="0.25">
      <c r="A13" s="8" t="s">
        <v>77</v>
      </c>
      <c r="B13" s="5" t="s">
        <v>78</v>
      </c>
      <c r="C13" s="7">
        <v>0</v>
      </c>
      <c r="D13" s="10">
        <v>0</v>
      </c>
    </row>
  </sheetData>
  <mergeCells count="2">
    <mergeCell ref="A10:B10"/>
    <mergeCell ref="A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5" sqref="E15"/>
    </sheetView>
  </sheetViews>
  <sheetFormatPr defaultRowHeight="15.75" x14ac:dyDescent="0.25"/>
  <cols>
    <col min="1" max="1" width="5" style="1" customWidth="1"/>
    <col min="2" max="3" width="33" style="1" customWidth="1"/>
    <col min="4" max="5" width="27.140625" style="1" customWidth="1"/>
    <col min="6" max="16384" width="9.140625" style="1"/>
  </cols>
  <sheetData>
    <row r="1" spans="1:5" x14ac:dyDescent="0.25">
      <c r="E1" s="1" t="s">
        <v>80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E6" s="1" t="s">
        <v>4</v>
      </c>
    </row>
    <row r="9" spans="1:5" ht="32.25" customHeight="1" x14ac:dyDescent="0.25">
      <c r="A9" s="64" t="s">
        <v>81</v>
      </c>
      <c r="B9" s="65"/>
      <c r="C9" s="65"/>
      <c r="D9" s="65"/>
      <c r="E9" s="65"/>
    </row>
    <row r="11" spans="1:5" ht="94.5" x14ac:dyDescent="0.25">
      <c r="A11" s="51" t="s">
        <v>21</v>
      </c>
      <c r="B11" s="62"/>
      <c r="C11" s="3" t="s">
        <v>82</v>
      </c>
      <c r="D11" s="3" t="s">
        <v>83</v>
      </c>
      <c r="E11" s="3" t="s">
        <v>89</v>
      </c>
    </row>
    <row r="12" spans="1:5" ht="31.5" x14ac:dyDescent="0.25">
      <c r="A12" s="8">
        <v>1</v>
      </c>
      <c r="B12" s="5" t="s">
        <v>84</v>
      </c>
      <c r="C12" s="7"/>
      <c r="D12" s="7"/>
      <c r="E12" s="7"/>
    </row>
    <row r="13" spans="1:5" x14ac:dyDescent="0.25">
      <c r="A13" s="6"/>
      <c r="B13" s="6" t="s">
        <v>85</v>
      </c>
      <c r="C13" s="7">
        <f>3719.1</f>
        <v>3719.1</v>
      </c>
      <c r="D13" s="7">
        <v>2.4750000000000001</v>
      </c>
      <c r="E13" s="7">
        <v>562</v>
      </c>
    </row>
    <row r="14" spans="1:5" x14ac:dyDescent="0.25">
      <c r="A14" s="6"/>
      <c r="B14" s="6" t="s">
        <v>86</v>
      </c>
      <c r="C14" s="7">
        <v>30632.400000000001</v>
      </c>
      <c r="D14" s="7">
        <v>14.175000000000001</v>
      </c>
      <c r="E14" s="7">
        <v>11292.1</v>
      </c>
    </row>
    <row r="15" spans="1:5" x14ac:dyDescent="0.25">
      <c r="A15" s="6"/>
      <c r="B15" s="6" t="s">
        <v>87</v>
      </c>
      <c r="C15" s="7" t="s">
        <v>90</v>
      </c>
      <c r="D15" s="7" t="s">
        <v>90</v>
      </c>
      <c r="E15" s="7" t="s">
        <v>90</v>
      </c>
    </row>
    <row r="16" spans="1:5" ht="31.5" x14ac:dyDescent="0.25">
      <c r="A16" s="8">
        <v>2</v>
      </c>
      <c r="B16" s="5" t="s">
        <v>88</v>
      </c>
      <c r="C16" s="7"/>
      <c r="D16" s="7"/>
      <c r="E16" s="7"/>
    </row>
    <row r="17" spans="1:5" x14ac:dyDescent="0.25">
      <c r="A17" s="6"/>
      <c r="B17" s="6" t="s">
        <v>85</v>
      </c>
      <c r="C17" s="7">
        <f>ROUND((38632499.56+10798034.46+2106849.35)/1000,1)</f>
        <v>51537.4</v>
      </c>
      <c r="D17" s="7">
        <v>40.423000000000002</v>
      </c>
      <c r="E17" s="7">
        <v>8153.6</v>
      </c>
    </row>
    <row r="18" spans="1:5" x14ac:dyDescent="0.25">
      <c r="A18" s="6"/>
      <c r="B18" s="6" t="s">
        <v>86</v>
      </c>
      <c r="C18" s="7">
        <f>ROUND((5372539.09+4174888.38+9100407.84)/1000,1)</f>
        <v>18647.8</v>
      </c>
      <c r="D18" s="7">
        <v>8.2550000000000008</v>
      </c>
      <c r="E18" s="7">
        <v>5240.3999999999996</v>
      </c>
    </row>
    <row r="19" spans="1:5" x14ac:dyDescent="0.25">
      <c r="A19" s="6"/>
      <c r="B19" s="6" t="s">
        <v>87</v>
      </c>
      <c r="C19" s="7"/>
      <c r="D19" s="7"/>
      <c r="E19" s="7"/>
    </row>
  </sheetData>
  <mergeCells count="2">
    <mergeCell ref="A11:B11"/>
    <mergeCell ref="A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J1" sqref="J1:J6"/>
    </sheetView>
  </sheetViews>
  <sheetFormatPr defaultRowHeight="15.75" x14ac:dyDescent="0.2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0" width="16.42578125" style="1" customWidth="1"/>
    <col min="11" max="11" width="12.42578125" style="1" customWidth="1"/>
    <col min="12" max="16384" width="9.140625" style="1"/>
  </cols>
  <sheetData>
    <row r="1" spans="1:12" x14ac:dyDescent="0.25">
      <c r="J1" s="1" t="s">
        <v>131</v>
      </c>
    </row>
    <row r="2" spans="1:12" x14ac:dyDescent="0.25">
      <c r="J2" s="1" t="s">
        <v>1</v>
      </c>
      <c r="L2" s="22"/>
    </row>
    <row r="3" spans="1:12" ht="15.75" customHeight="1" x14ac:dyDescent="0.25">
      <c r="J3" s="1" t="s">
        <v>2</v>
      </c>
      <c r="K3" s="35"/>
      <c r="L3" s="35"/>
    </row>
    <row r="4" spans="1:12" x14ac:dyDescent="0.25">
      <c r="J4" s="1" t="s">
        <v>3</v>
      </c>
      <c r="L4" s="22"/>
    </row>
    <row r="5" spans="1:12" x14ac:dyDescent="0.25">
      <c r="L5" s="22"/>
    </row>
    <row r="6" spans="1:12" x14ac:dyDescent="0.25">
      <c r="J6" s="1" t="s">
        <v>4</v>
      </c>
      <c r="K6" s="23"/>
    </row>
    <row r="7" spans="1:12" x14ac:dyDescent="0.25">
      <c r="B7" s="24"/>
      <c r="C7" s="24"/>
      <c r="D7" s="24"/>
      <c r="E7" s="64" t="s">
        <v>132</v>
      </c>
      <c r="F7" s="70"/>
      <c r="G7" s="70"/>
      <c r="H7" s="70"/>
      <c r="I7" s="24"/>
      <c r="J7" s="24"/>
    </row>
    <row r="8" spans="1:12" x14ac:dyDescent="0.25">
      <c r="B8" s="71" t="s">
        <v>133</v>
      </c>
      <c r="C8" s="72"/>
      <c r="D8" s="72"/>
      <c r="E8" s="72"/>
      <c r="F8" s="72"/>
      <c r="G8" s="72"/>
      <c r="H8" s="72"/>
      <c r="I8" s="72"/>
      <c r="J8" s="72"/>
    </row>
    <row r="9" spans="1:12" x14ac:dyDescent="0.25">
      <c r="B9" s="24"/>
      <c r="C9" s="24"/>
      <c r="D9" s="24"/>
      <c r="E9" s="71" t="s">
        <v>134</v>
      </c>
      <c r="F9" s="72"/>
      <c r="G9" s="72"/>
      <c r="H9" s="72"/>
      <c r="I9" s="24"/>
      <c r="J9" s="24"/>
    </row>
    <row r="11" spans="1:12" ht="42.75" customHeight="1" x14ac:dyDescent="0.25">
      <c r="A11" s="73"/>
      <c r="B11" s="75" t="s">
        <v>135</v>
      </c>
      <c r="C11" s="77" t="s">
        <v>136</v>
      </c>
      <c r="D11" s="78"/>
      <c r="E11" s="79"/>
      <c r="F11" s="77" t="s">
        <v>137</v>
      </c>
      <c r="G11" s="78"/>
      <c r="H11" s="79"/>
      <c r="I11" s="77" t="s">
        <v>138</v>
      </c>
      <c r="J11" s="78"/>
      <c r="K11" s="79"/>
    </row>
    <row r="12" spans="1:12" s="27" customFormat="1" ht="39" customHeight="1" x14ac:dyDescent="0.25">
      <c r="A12" s="74"/>
      <c r="B12" s="76"/>
      <c r="C12" s="25" t="s">
        <v>85</v>
      </c>
      <c r="D12" s="26" t="s">
        <v>139</v>
      </c>
      <c r="E12" s="26" t="s">
        <v>140</v>
      </c>
      <c r="F12" s="25" t="s">
        <v>85</v>
      </c>
      <c r="G12" s="26" t="s">
        <v>139</v>
      </c>
      <c r="H12" s="26" t="s">
        <v>140</v>
      </c>
      <c r="I12" s="25" t="s">
        <v>85</v>
      </c>
      <c r="J12" s="26" t="s">
        <v>139</v>
      </c>
      <c r="K12" s="26" t="s">
        <v>140</v>
      </c>
    </row>
    <row r="13" spans="1:12" s="27" customFormat="1" ht="57" customHeight="1" x14ac:dyDescent="0.25">
      <c r="A13" s="28" t="s">
        <v>70</v>
      </c>
      <c r="B13" s="29" t="s">
        <v>141</v>
      </c>
      <c r="C13" s="30">
        <v>1624</v>
      </c>
      <c r="D13" s="26" t="s">
        <v>142</v>
      </c>
      <c r="E13" s="26" t="s">
        <v>142</v>
      </c>
      <c r="F13" s="31">
        <v>15105.2</v>
      </c>
      <c r="G13" s="26" t="s">
        <v>142</v>
      </c>
      <c r="H13" s="26" t="s">
        <v>142</v>
      </c>
      <c r="I13" s="31">
        <v>1286.2</v>
      </c>
      <c r="J13" s="26" t="s">
        <v>142</v>
      </c>
      <c r="K13" s="26" t="s">
        <v>142</v>
      </c>
    </row>
    <row r="14" spans="1:12" s="27" customFormat="1" ht="52.5" customHeight="1" x14ac:dyDescent="0.25">
      <c r="A14" s="28" t="s">
        <v>75</v>
      </c>
      <c r="B14" s="32" t="s">
        <v>143</v>
      </c>
      <c r="C14" s="26">
        <v>86</v>
      </c>
      <c r="D14" s="26">
        <v>6</v>
      </c>
      <c r="E14" s="26" t="s">
        <v>142</v>
      </c>
      <c r="F14" s="31">
        <v>4908.2</v>
      </c>
      <c r="G14" s="31">
        <v>595</v>
      </c>
      <c r="H14" s="26" t="s">
        <v>142</v>
      </c>
      <c r="I14" s="31">
        <v>10562.5</v>
      </c>
      <c r="J14" s="31">
        <v>850.8</v>
      </c>
      <c r="K14" s="26" t="s">
        <v>142</v>
      </c>
    </row>
    <row r="15" spans="1:12" ht="90" customHeight="1" x14ac:dyDescent="0.25">
      <c r="A15" s="28" t="s">
        <v>77</v>
      </c>
      <c r="B15" s="29" t="s">
        <v>144</v>
      </c>
      <c r="C15" s="26">
        <v>2</v>
      </c>
      <c r="D15" s="26">
        <v>4</v>
      </c>
      <c r="E15" s="26" t="s">
        <v>142</v>
      </c>
      <c r="F15" s="31">
        <v>478</v>
      </c>
      <c r="G15" s="31">
        <v>1166</v>
      </c>
      <c r="H15" s="26" t="s">
        <v>142</v>
      </c>
      <c r="I15" s="31">
        <v>536.70000000000005</v>
      </c>
      <c r="J15" s="31">
        <v>1707</v>
      </c>
      <c r="K15" s="26" t="s">
        <v>142</v>
      </c>
    </row>
    <row r="16" spans="1:12" ht="81.75" customHeight="1" x14ac:dyDescent="0.25">
      <c r="A16" s="28" t="s">
        <v>145</v>
      </c>
      <c r="B16" s="32" t="s">
        <v>146</v>
      </c>
      <c r="C16" s="26" t="s">
        <v>142</v>
      </c>
      <c r="D16" s="26">
        <v>1</v>
      </c>
      <c r="E16" s="26" t="s">
        <v>142</v>
      </c>
      <c r="F16" s="26" t="s">
        <v>142</v>
      </c>
      <c r="G16" s="31">
        <v>1750</v>
      </c>
      <c r="H16" s="26" t="s">
        <v>142</v>
      </c>
      <c r="I16" s="26" t="s">
        <v>142</v>
      </c>
      <c r="J16" s="31">
        <v>637.79999999999995</v>
      </c>
      <c r="K16" s="26" t="s">
        <v>142</v>
      </c>
    </row>
    <row r="17" spans="1:11" ht="73.5" customHeight="1" x14ac:dyDescent="0.25">
      <c r="A17" s="28" t="s">
        <v>147</v>
      </c>
      <c r="B17" s="32" t="s">
        <v>148</v>
      </c>
      <c r="C17" s="26" t="s">
        <v>142</v>
      </c>
      <c r="D17" s="26" t="s">
        <v>142</v>
      </c>
      <c r="E17" s="26" t="s">
        <v>142</v>
      </c>
      <c r="F17" s="26" t="s">
        <v>142</v>
      </c>
      <c r="G17" s="26" t="s">
        <v>142</v>
      </c>
      <c r="H17" s="26" t="s">
        <v>142</v>
      </c>
      <c r="I17" s="26" t="s">
        <v>142</v>
      </c>
      <c r="J17" s="26" t="s">
        <v>142</v>
      </c>
      <c r="K17" s="26" t="s">
        <v>142</v>
      </c>
    </row>
    <row r="18" spans="1:11" ht="18" customHeight="1" x14ac:dyDescent="0.25">
      <c r="A18" s="28" t="s">
        <v>99</v>
      </c>
      <c r="B18" s="29" t="s">
        <v>149</v>
      </c>
      <c r="C18" s="26" t="s">
        <v>142</v>
      </c>
      <c r="D18" s="26" t="s">
        <v>142</v>
      </c>
      <c r="E18" s="26" t="s">
        <v>142</v>
      </c>
      <c r="F18" s="26" t="s">
        <v>142</v>
      </c>
      <c r="G18" s="26" t="s">
        <v>142</v>
      </c>
      <c r="H18" s="26" t="s">
        <v>142</v>
      </c>
      <c r="I18" s="26" t="s">
        <v>142</v>
      </c>
      <c r="J18" s="26" t="s">
        <v>142</v>
      </c>
      <c r="K18" s="26" t="s">
        <v>142</v>
      </c>
    </row>
    <row r="20" spans="1:11" x14ac:dyDescent="0.25">
      <c r="A20" s="66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33" customFormat="1" ht="69" customHeight="1" x14ac:dyDescent="0.25">
      <c r="A21" s="68" t="s">
        <v>151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34"/>
    </row>
  </sheetData>
  <mergeCells count="10">
    <mergeCell ref="A20:K20"/>
    <mergeCell ref="A21:K21"/>
    <mergeCell ref="E7:H7"/>
    <mergeCell ref="B8:J8"/>
    <mergeCell ref="E9:H9"/>
    <mergeCell ref="A11:A12"/>
    <mergeCell ref="B11:B12"/>
    <mergeCell ref="C11:E11"/>
    <mergeCell ref="F11:H11"/>
    <mergeCell ref="I11:K11"/>
  </mergeCells>
  <hyperlinks>
    <hyperlink ref="J3" location="sub_1000" display="sub_1000"/>
  </hyperlinks>
  <pageMargins left="0.78740157480314965" right="0" top="0.19685039370078741" bottom="0.19685039370078741" header="0.31496062992125984" footer="0.31496062992125984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K15" sqref="K15"/>
    </sheetView>
  </sheetViews>
  <sheetFormatPr defaultRowHeight="15.75" x14ac:dyDescent="0.2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6384" width="9.140625" style="1"/>
  </cols>
  <sheetData>
    <row r="1" spans="1:8" x14ac:dyDescent="0.25">
      <c r="G1" s="1" t="s">
        <v>152</v>
      </c>
    </row>
    <row r="2" spans="1:8" ht="15.75" customHeight="1" x14ac:dyDescent="0.25">
      <c r="G2" s="1" t="s">
        <v>1</v>
      </c>
    </row>
    <row r="3" spans="1:8" x14ac:dyDescent="0.25">
      <c r="G3" s="1" t="s">
        <v>2</v>
      </c>
    </row>
    <row r="4" spans="1:8" x14ac:dyDescent="0.25">
      <c r="G4" s="1" t="s">
        <v>3</v>
      </c>
    </row>
    <row r="6" spans="1:8" x14ac:dyDescent="0.25">
      <c r="G6" s="1" t="s">
        <v>4</v>
      </c>
    </row>
    <row r="7" spans="1:8" ht="18.75" x14ac:dyDescent="0.3">
      <c r="B7" s="36"/>
      <c r="C7" s="24" t="s">
        <v>132</v>
      </c>
      <c r="D7" s="24"/>
      <c r="E7" s="37"/>
      <c r="F7" s="38"/>
      <c r="G7" s="39"/>
      <c r="H7" s="39"/>
    </row>
    <row r="8" spans="1:8" x14ac:dyDescent="0.25">
      <c r="B8" s="71" t="s">
        <v>153</v>
      </c>
      <c r="C8" s="72"/>
      <c r="D8" s="72"/>
      <c r="E8" s="72"/>
      <c r="F8" s="72"/>
      <c r="G8" s="72"/>
      <c r="H8" s="72"/>
    </row>
    <row r="9" spans="1:8" x14ac:dyDescent="0.25">
      <c r="B9" s="24"/>
      <c r="C9" s="24" t="s">
        <v>154</v>
      </c>
      <c r="D9" s="24"/>
      <c r="E9" s="40"/>
      <c r="F9" s="41"/>
      <c r="G9" s="41"/>
      <c r="H9" s="41"/>
    </row>
    <row r="12" spans="1:8" ht="42.75" customHeight="1" x14ac:dyDescent="0.25">
      <c r="A12" s="73"/>
      <c r="B12" s="75" t="s">
        <v>135</v>
      </c>
      <c r="C12" s="77" t="s">
        <v>136</v>
      </c>
      <c r="D12" s="78"/>
      <c r="E12" s="79"/>
      <c r="F12" s="77" t="s">
        <v>137</v>
      </c>
      <c r="G12" s="78"/>
      <c r="H12" s="79"/>
    </row>
    <row r="13" spans="1:8" s="27" customFormat="1" ht="39" customHeight="1" x14ac:dyDescent="0.25">
      <c r="A13" s="74"/>
      <c r="B13" s="76"/>
      <c r="C13" s="42" t="s">
        <v>85</v>
      </c>
      <c r="D13" s="43" t="s">
        <v>139</v>
      </c>
      <c r="E13" s="43" t="s">
        <v>140</v>
      </c>
      <c r="F13" s="42" t="s">
        <v>85</v>
      </c>
      <c r="G13" s="43" t="s">
        <v>139</v>
      </c>
      <c r="H13" s="43" t="s">
        <v>140</v>
      </c>
    </row>
    <row r="14" spans="1:8" s="27" customFormat="1" ht="57" customHeight="1" x14ac:dyDescent="0.25">
      <c r="A14" s="28" t="s">
        <v>70</v>
      </c>
      <c r="B14" s="29" t="s">
        <v>141</v>
      </c>
      <c r="C14" s="30">
        <v>1925</v>
      </c>
      <c r="D14" s="30" t="s">
        <v>142</v>
      </c>
      <c r="E14" s="30" t="s">
        <v>142</v>
      </c>
      <c r="F14" s="31">
        <v>16193.3</v>
      </c>
      <c r="G14" s="26" t="s">
        <v>142</v>
      </c>
      <c r="H14" s="30" t="s">
        <v>142</v>
      </c>
    </row>
    <row r="15" spans="1:8" s="27" customFormat="1" ht="52.5" customHeight="1" x14ac:dyDescent="0.25">
      <c r="A15" s="28" t="s">
        <v>75</v>
      </c>
      <c r="B15" s="32" t="s">
        <v>143</v>
      </c>
      <c r="C15" s="30">
        <v>124</v>
      </c>
      <c r="D15" s="30">
        <v>9</v>
      </c>
      <c r="E15" s="30" t="s">
        <v>142</v>
      </c>
      <c r="F15" s="31">
        <v>7433.3</v>
      </c>
      <c r="G15" s="31">
        <v>876</v>
      </c>
      <c r="H15" s="30" t="s">
        <v>142</v>
      </c>
    </row>
    <row r="16" spans="1:8" ht="90" customHeight="1" x14ac:dyDescent="0.25">
      <c r="A16" s="28" t="s">
        <v>77</v>
      </c>
      <c r="B16" s="29" t="s">
        <v>144</v>
      </c>
      <c r="C16" s="30">
        <v>11</v>
      </c>
      <c r="D16" s="30">
        <v>6</v>
      </c>
      <c r="E16" s="30" t="s">
        <v>142</v>
      </c>
      <c r="F16" s="31">
        <v>2895.68</v>
      </c>
      <c r="G16" s="31">
        <v>1994.1</v>
      </c>
      <c r="H16" s="30" t="s">
        <v>142</v>
      </c>
    </row>
    <row r="17" spans="1:8" ht="81.75" customHeight="1" x14ac:dyDescent="0.25">
      <c r="A17" s="28" t="s">
        <v>145</v>
      </c>
      <c r="B17" s="32" t="s">
        <v>146</v>
      </c>
      <c r="C17" s="30">
        <v>1</v>
      </c>
      <c r="D17" s="30">
        <v>6</v>
      </c>
      <c r="E17" s="30" t="s">
        <v>142</v>
      </c>
      <c r="F17" s="26">
        <v>1854.4</v>
      </c>
      <c r="G17" s="31">
        <v>20223.2</v>
      </c>
      <c r="H17" s="30" t="s">
        <v>142</v>
      </c>
    </row>
    <row r="18" spans="1:8" ht="73.5" customHeight="1" x14ac:dyDescent="0.25">
      <c r="A18" s="28" t="s">
        <v>147</v>
      </c>
      <c r="B18" s="32" t="s">
        <v>148</v>
      </c>
      <c r="C18" s="30" t="s">
        <v>142</v>
      </c>
      <c r="D18" s="30">
        <v>1</v>
      </c>
      <c r="E18" s="30" t="s">
        <v>142</v>
      </c>
      <c r="F18" s="26" t="s">
        <v>142</v>
      </c>
      <c r="G18" s="26">
        <v>10500</v>
      </c>
      <c r="H18" s="30" t="s">
        <v>142</v>
      </c>
    </row>
    <row r="19" spans="1:8" ht="18" customHeight="1" x14ac:dyDescent="0.25">
      <c r="A19" s="28" t="s">
        <v>99</v>
      </c>
      <c r="B19" s="29" t="s">
        <v>149</v>
      </c>
      <c r="C19" s="30" t="s">
        <v>142</v>
      </c>
      <c r="D19" s="30" t="s">
        <v>142</v>
      </c>
      <c r="E19" s="30" t="s">
        <v>142</v>
      </c>
      <c r="F19" s="26" t="s">
        <v>142</v>
      </c>
      <c r="G19" s="26" t="s">
        <v>142</v>
      </c>
      <c r="H19" s="30" t="s">
        <v>142</v>
      </c>
    </row>
    <row r="21" spans="1:8" x14ac:dyDescent="0.25">
      <c r="A21" s="66" t="s">
        <v>150</v>
      </c>
      <c r="B21" s="67"/>
      <c r="C21" s="67"/>
      <c r="D21" s="67"/>
      <c r="E21" s="67"/>
      <c r="F21" s="67"/>
      <c r="G21" s="67"/>
      <c r="H21" s="67"/>
    </row>
    <row r="22" spans="1:8" ht="69" customHeight="1" x14ac:dyDescent="0.25">
      <c r="A22" s="66" t="s">
        <v>151</v>
      </c>
      <c r="B22" s="67"/>
      <c r="C22" s="67"/>
      <c r="D22" s="67"/>
      <c r="E22" s="67"/>
      <c r="F22" s="67"/>
      <c r="G22" s="67"/>
      <c r="H22" s="67"/>
    </row>
    <row r="23" spans="1:8" x14ac:dyDescent="0.25">
      <c r="A23" s="34"/>
    </row>
  </sheetData>
  <mergeCells count="7">
    <mergeCell ref="A21:H21"/>
    <mergeCell ref="A22:H22"/>
    <mergeCell ref="B8:H8"/>
    <mergeCell ref="A12:A13"/>
    <mergeCell ref="B12:B13"/>
    <mergeCell ref="C12:E12"/>
    <mergeCell ref="F12:H12"/>
  </mergeCells>
  <hyperlinks>
    <hyperlink ref="G3" location="sub_1000" display="sub_1000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2</vt:lpstr>
      <vt:lpstr>приложение 3</vt:lpstr>
      <vt:lpstr>приложение 4 до 150 </vt:lpstr>
      <vt:lpstr>приложение 4 свыше 150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2015-10-29T07:57:59Z</dcterms:modified>
</cp:coreProperties>
</file>